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fPgX3nScQsqNCXu4Wb2arfo5mRxRqU3wQM56AHNIS7jyrk67N/G4/hKrheQiNcJTE/yyf7T/OuZvt60BH7OQMQ==" workbookSaltValue="innQ6aCrbQleAAEqN1RIc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14" i="17" s="1"/>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K21" i="8" s="1"/>
  <c r="AJ20" i="8"/>
  <c r="T20" i="12" s="1"/>
  <c r="AI20" i="8"/>
  <c r="S20" i="12" s="1"/>
  <c r="AH20" i="8"/>
  <c r="R20" i="12" s="1"/>
  <c r="AG20" i="8"/>
  <c r="Q20" i="12" s="1"/>
  <c r="AF20" i="8"/>
  <c r="AE20" i="8"/>
  <c r="AD20" i="8"/>
  <c r="AC20" i="8"/>
  <c r="AB20" i="8"/>
  <c r="AB21" i="8" s="1"/>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E9" i="8" s="1"/>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BF18" i="8" s="1"/>
  <c r="AY19" i="8"/>
  <c r="AZ19" i="8"/>
  <c r="BA19" i="8"/>
  <c r="BE19" i="8" s="1"/>
  <c r="BB19" i="8"/>
  <c r="BC19"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AN21" i="13"/>
  <c r="D20" i="12"/>
  <c r="ER21" i="8"/>
  <c r="N19" i="11"/>
  <c r="AE14" i="21"/>
  <c r="EL21" i="8"/>
  <c r="EQ21" i="8"/>
  <c r="EN21" i="8"/>
  <c r="K20" i="11"/>
  <c r="BA14" i="16"/>
  <c r="N10" i="11"/>
  <c r="N9" i="11"/>
  <c r="ES21" i="8"/>
  <c r="EP21" i="8"/>
  <c r="ER21" i="13"/>
  <c r="AL14" i="16"/>
  <c r="EP21" i="19"/>
  <c r="S14" i="16"/>
  <c r="P14" i="16"/>
  <c r="Z14" i="17"/>
  <c r="F18" i="17"/>
  <c r="AQ18" i="17" s="1"/>
  <c r="K20" i="2"/>
  <c r="M14" i="2"/>
  <c r="N14" i="2"/>
  <c r="F14" i="7"/>
  <c r="T14" i="12"/>
  <c r="T14" i="16"/>
  <c r="AY20" i="8"/>
  <c r="BF16" i="8"/>
  <c r="AY14" i="8"/>
  <c r="BG16" i="8"/>
  <c r="AH14" i="16"/>
  <c r="T14" i="20"/>
  <c r="T20" i="17"/>
  <c r="BF16" i="13"/>
  <c r="BG16" i="13"/>
  <c r="BB20" i="13"/>
  <c r="BE17" i="13"/>
  <c r="BE16" i="13"/>
  <c r="BF17" i="13"/>
  <c r="K22" i="20"/>
  <c r="Y22" i="20"/>
  <c r="AC22" i="20"/>
  <c r="AA22" i="20"/>
  <c r="U12" i="11"/>
  <c r="AQ22" i="21"/>
  <c r="U17" i="11"/>
  <c r="AQ22" i="20"/>
  <c r="G14" i="14"/>
  <c r="W22" i="20"/>
  <c r="U10" i="11"/>
  <c r="AF22" i="20"/>
  <c r="U18" i="11"/>
  <c r="AL22" i="20"/>
  <c r="AE22" i="20"/>
  <c r="L22" i="20"/>
  <c r="N22" i="20"/>
  <c r="W22" i="21"/>
  <c r="AG22" i="20"/>
  <c r="M22" i="20"/>
  <c r="G20" i="12" l="1"/>
  <c r="AQ19" i="11"/>
  <c r="I19" i="3"/>
  <c r="AE21" i="8"/>
  <c r="AQ13" i="17"/>
  <c r="BA14" i="8"/>
  <c r="BG10" i="8"/>
  <c r="BD9" i="8"/>
  <c r="R21" i="8"/>
  <c r="H12" i="2"/>
  <c r="B19" i="6"/>
  <c r="AL16" i="11"/>
  <c r="M20" i="2"/>
  <c r="N20" i="2"/>
  <c r="K16" i="7"/>
  <c r="F13" i="2"/>
  <c r="R8" i="9"/>
  <c r="AP17" i="20" s="1"/>
  <c r="F11" i="16"/>
  <c r="BL11" i="16" s="1"/>
  <c r="X12" i="21"/>
  <c r="BH9" i="16"/>
  <c r="BL9" i="11"/>
  <c r="BH18" i="16"/>
  <c r="BH16" i="16"/>
  <c r="BF18" i="11"/>
  <c r="BK19" i="11"/>
  <c r="BK9" i="11"/>
  <c r="V12" i="2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BM17" i="11"/>
  <c r="V11" i="16"/>
  <c r="BH19" i="11"/>
  <c r="BF10" i="11"/>
  <c r="AZ19" i="11"/>
  <c r="V18" i="16"/>
  <c r="S9" i="17"/>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9" i="12" l="1"/>
  <c r="I12" i="12"/>
  <c r="Q18" i="20"/>
  <c r="Q20" i="20" s="1"/>
  <c r="BG10" i="11"/>
  <c r="BK13" i="11"/>
  <c r="BK14" i="11" s="1"/>
  <c r="BL19" i="11"/>
  <c r="BM12" i="11"/>
  <c r="S9" i="14"/>
  <c r="V9" i="14" s="1"/>
  <c r="BI19" i="11"/>
  <c r="BJ12" i="11"/>
  <c r="BG16" i="11"/>
  <c r="AQ14" i="21"/>
  <c r="BG19" i="11"/>
  <c r="T18" i="16"/>
  <c r="BU16" i="17"/>
  <c r="BW9" i="20"/>
  <c r="BW13" i="20"/>
  <c r="BW17" i="20"/>
  <c r="U13" i="17"/>
  <c r="U10" i="17"/>
  <c r="BU18" i="17"/>
  <c r="BU17" i="17"/>
  <c r="S11" i="14"/>
  <c r="V11" i="14" s="1"/>
  <c r="BG12" i="11"/>
  <c r="BH10" i="11"/>
  <c r="AQ10" i="21"/>
  <c r="BH10" i="16"/>
  <c r="BM18" i="11"/>
  <c r="BH17" i="11"/>
  <c r="BJ17" i="11"/>
  <c r="S17" i="17"/>
  <c r="L13" i="2"/>
  <c r="X16" i="16"/>
  <c r="X20" i="16" s="1"/>
  <c r="V13" i="11"/>
  <c r="BI16" i="11"/>
  <c r="BM13" i="11"/>
  <c r="AP16" i="20"/>
  <c r="BL11" i="11"/>
  <c r="BL13" i="11"/>
  <c r="Q13" i="11" s="1"/>
  <c r="BM16" i="11"/>
  <c r="T16" i="16"/>
  <c r="BV19" i="16"/>
  <c r="BV13" i="16"/>
  <c r="BV17" i="16"/>
  <c r="BV16" i="16"/>
  <c r="BV10" i="16"/>
  <c r="V12" i="16"/>
  <c r="BV9" i="16"/>
  <c r="AA16" i="16"/>
  <c r="T17" i="11"/>
  <c r="Q18" i="17"/>
  <c r="BI9" i="11"/>
  <c r="S10" i="17"/>
  <c r="BF16" i="11"/>
  <c r="AQ12" i="21"/>
  <c r="BL17" i="11"/>
  <c r="L17" i="2"/>
  <c r="V10" i="16"/>
  <c r="X13" i="16"/>
  <c r="BW11" i="20"/>
  <c r="Q16" i="17"/>
  <c r="Q20" i="17" s="1"/>
  <c r="X10" i="21"/>
  <c r="I12" i="7"/>
  <c r="C14" i="6"/>
  <c r="AB21" i="21"/>
  <c r="H21" i="21"/>
  <c r="K19" i="12"/>
  <c r="I11" i="12"/>
  <c r="AV14" i="16"/>
  <c r="BG14" i="13"/>
  <c r="AK21" i="13"/>
  <c r="BC21" i="13"/>
  <c r="BD14" i="13"/>
  <c r="BM21" i="13"/>
  <c r="AD21" i="13"/>
  <c r="AI21" i="13"/>
  <c r="L21" i="13"/>
  <c r="N21" i="13"/>
  <c r="BD10" i="13"/>
  <c r="K16" i="12"/>
  <c r="K10" i="12"/>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I22" i="21"/>
  <c r="BN22" i="16"/>
  <c r="D22" i="12"/>
  <c r="BE22" i="21"/>
  <c r="AG22" i="17"/>
  <c r="O22" i="21"/>
  <c r="AZ22" i="16"/>
  <c r="AH22" i="21"/>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AJ22" i="11"/>
  <c r="AK22" i="17"/>
  <c r="AP22" i="17"/>
  <c r="AD22" i="21"/>
  <c r="AU22" i="1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<sst xmlns="http://schemas.openxmlformats.org/spreadsheetml/2006/main" count="2195" uniqueCount="978">
  <si>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</si>
  <si>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</si>
  <si>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</si>
  <si>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</si>
  <si>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</si>
  <si>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</si>
  <si>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</si>
  <si>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</si>
  <si>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</si>
  <si>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</si>
  <si>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</si>
  <si>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</si>
  <si>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</si>
  <si>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</si>
  <si>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</si>
  <si>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</si>
  <si>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</si>
  <si>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</si>
  <si>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</si>
  <si>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</si>
  <si>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</si>
  <si>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</si>
  <si>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</si>
  <si>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</si>
  <si>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</si>
  <si>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</si>
  <si>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</si>
  <si>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</si>
  <si>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</si>
  <si>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</si>
  <si>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</si>
  <si>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</si>
  <si>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</si>
  <si>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</si>
  <si>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</si>
  <si>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</si>
  <si>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</si>
  <si>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</si>
  <si>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</si>
  <si>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</si>
  <si>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</si>
  <si>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</si>
  <si>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</si>
  <si>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</si>
  <si>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</si>
  <si>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</si>
  <si>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</si>
  <si>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</si>
  <si>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</si>
  <si>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</si>
  <si>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</si>
  <si>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</si>
  <si>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</si>
  <si>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</si>
  <si>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</si>
  <si>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</si>
  <si>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</si>
  <si>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</si>
  <si>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</si>
  <si>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</si>
  <si>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</si>
  <si>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</si>
  <si>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</si>
  <si>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</si>
  <si>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</si>
  <si>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</si>
  <si>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</si>
  <si>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</si>
  <si>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</si>
  <si>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</si>
  <si>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</si>
  <si>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</si>
  <si>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</si>
  <si>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</si>
  <si>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</si>
  <si>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</si>
  <si>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</si>
  <si>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</si>
  <si>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</si>
  <si>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</si>
  <si>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</si>
  <si>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</si>
  <si>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</si>
  <si>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</si>
  <si>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</si>
  <si>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</si>
  <si>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</si>
  <si>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</si>
  <si>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</si>
  <si>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</si>
  <si>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</si>
  <si>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</si>
  <si>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</si>
  <si>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</si>
  <si>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</si>
  <si>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</si>
  <si>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</si>
  <si>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</si>
  <si>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</si>
  <si>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</si>
  <si>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</si>
  <si>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</si>
  <si>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</si>
  <si>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</si>
  <si>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</si>
  <si>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</si>
  <si>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</si>
  <si>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</si>
  <si>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</si>
  <si>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</si>
  <si>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</si>
  <si>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</si>
  <si>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</si>
  <si>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</si>
  <si>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</si>
  <si>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</si>
  <si>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</si>
  <si>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</si>
  <si>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</si>
  <si>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</si>
  <si>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</si>
  <si>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</si>
  <si>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</si>
  <si>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</si>
  <si>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</si>
  <si>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</si>
  <si>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</si>
  <si>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</si>
  <si>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</si>
  <si>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</si>
  <si>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</si>
  <si>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</si>
  <si>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</si>
  <si>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</si>
  <si>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</si>
  <si>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</si>
  <si>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</si>
  <si>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</si>
  <si>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</si>
  <si>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</si>
  <si>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</si>
  <si>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</si>
  <si>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</si>
  <si>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</si>
  <si>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</si>
  <si>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</si>
  <si>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</si>
  <si>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</si>
  <si>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</si>
  <si>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</si>
  <si>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</si>
  <si>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</si>
  <si>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</si>
  <si>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</si>
  <si>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</si>
  <si>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</si>
  <si>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</si>
  <si>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</si>
  <si>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</si>
  <si>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</si>
  <si>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</si>
  <si>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</si>
  <si>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</si>
  <si>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</si>
  <si>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</si>
  <si>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</si>
  <si>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</si>
  <si>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</si>
  <si>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</si>
  <si>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</si>
  <si>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</si>
  <si>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</si>
  <si>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</si>
  <si>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</si>
  <si>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</si>
  <si>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</si>
  <si>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</si>
  <si>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</si>
  <si>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</si>
  <si>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</si>
  <si>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</si>
  <si>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</si>
  <si>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</si>
  <si>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</si>
  <si>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</si>
  <si>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</si>
  <si>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</si>
  <si>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</si>
  <si>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</si>
  <si>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</si>
  <si>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</si>
  <si>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</si>
  <si>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</si>
  <si>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</si>
  <si>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</si>
  <si>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</si>
  <si>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</si>
  <si>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</si>
  <si>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</si>
  <si>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</si>
  <si>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</si>
  <si>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</si>
  <si>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</si>
  <si>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</si>
  <si>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</si>
  <si>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</si>
  <si>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</si>
  <si>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</si>
  <si>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</si>
  <si>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</si>
  <si>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</si>
  <si>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</si>
  <si>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</si>
  <si>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</si>
  <si>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</si>
  <si>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</si>
  <si>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</si>
  <si>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</si>
  <si>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</si>
  <si>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</si>
  <si>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</si>
  <si>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</si>
  <si>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</si>
  <si>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</si>
  <si>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</si>
  <si>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</si>
  <si>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</si>
  <si>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</si>
  <si>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</si>
  <si>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</si>
  <si>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</si>
  <si>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</si>
  <si>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</si>
  <si>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</si>
  <si>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</si>
  <si>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</si>
  <si>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</si>
  <si>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</si>
  <si>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</si>
  <si>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</si>
  <si>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</si>
  <si>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</si>
  <si>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</si>
  <si>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</si>
  <si>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</si>
  <si>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</si>
  <si>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</si>
  <si>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</si>
  <si>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</si>
  <si>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</si>
  <si>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</si>
  <si>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</si>
  <si>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</si>
  <si>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</si>
  <si>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</si>
  <si>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</si>
  <si>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</si>
  <si>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</si>
  <si>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</si>
  <si>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</si>
  <si>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</si>
  <si>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</si>
  <si>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</si>
  <si>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</si>
  <si>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</si>
  <si>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</si>
  <si>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</si>
  <si>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</si>
  <si>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</si>
  <si>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</si>
  <si>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</si>
  <si>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</si>
  <si>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</si>
  <si>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</si>
  <si>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</si>
  <si>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</si>
  <si>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</si>
  <si>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</si>
  <si>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</si>
  <si>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</si>
  <si>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</si>
  <si>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</si>
  <si>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</si>
  <si>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</si>
  <si>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</si>
  <si>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</si>
  <si>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</si>
  <si>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</si>
  <si>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</si>
  <si>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</si>
  <si>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</si>
  <si>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</si>
  <si>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</si>
  <si>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</si>
  <si>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</si>
  <si>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</si>
  <si>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</si>
  <si>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</si>
  <si>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</si>
  <si>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</si>
  <si>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</si>
  <si>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</si>
  <si>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</si>
  <si>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</si>
  <si>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</si>
  <si>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</si>
  <si>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</si>
  <si>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</si>
  <si>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</si>
  <si>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</si>
  <si>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</si>
  <si>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</si>
  <si>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</si>
  <si>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</si>
  <si>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</si>
  <si>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</si>
  <si>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</si>
  <si>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</si>
  <si>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</si>
  <si>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</si>
  <si>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</si>
  <si>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</si>
  <si>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</si>
  <si>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</si>
  <si>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</si>
  <si>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</si>
  <si>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</si>
  <si>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</si>
  <si>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</si>
  <si>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</si>
  <si>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</si>
  <si>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</si>
  <si>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</si>
  <si>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</si>
  <si>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</si>
  <si>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</si>
  <si>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</si>
  <si>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</si>
  <si>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</si>
  <si>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</si>
  <si>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</si>
  <si>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</si>
  <si>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</si>
  <si>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</si>
  <si>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</si>
  <si>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</si>
  <si>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</si>
  <si>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</si>
  <si>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</si>
  <si>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</si>
  <si>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</si>
  <si>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</si>
  <si>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</si>
  <si>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</si>
  <si>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</si>
  <si>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</si>
  <si>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</si>
  <si>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</si>
  <si>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</si>
  <si>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</si>
  <si>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</si>
  <si>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</si>
  <si>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</si>
  <si>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</si>
  <si>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</si>
  <si>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</si>
  <si>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</si>
  <si>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</si>
  <si>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</si>
  <si>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</si>
  <si>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</si>
  <si>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</si>
  <si>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</si>
  <si>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</si>
  <si>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</si>
  <si>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</si>
  <si>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</si>
  <si>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</si>
  <si>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</si>
  <si>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</si>
  <si>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</si>
  <si>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</si>
  <si>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</si>
  <si>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</si>
  <si>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</si>
  <si>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</si>
  <si>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</si>
  <si>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</si>
  <si>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</si>
  <si>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</si>
  <si>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</si>
  <si>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</si>
  <si>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</si>
  <si>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</si>
  <si>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</si>
  <si>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</si>
  <si>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</si>
  <si>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</si>
  <si>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</si>
  <si>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</si>
  <si>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</si>
  <si>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</si>
  <si>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</si>
  <si>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</si>
  <si>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</si>
  <si>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</si>
  <si>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</si>
  <si>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</si>
  <si>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</si>
  <si>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</si>
  <si>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</si>
  <si>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</si>
  <si>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</si>
  <si>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</si>
  <si>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</si>
  <si>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</si>
  <si>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</si>
  <si>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</si>
  <si>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</si>
  <si>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</si>
  <si>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</si>
  <si>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</si>
  <si>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</si>
  <si>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</si>
  <si>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</si>
  <si>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</si>
  <si>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</si>
  <si>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</si>
  <si>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</si>
  <si>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</si>
  <si>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</si>
  <si>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</si>
  <si>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</si>
  <si>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</si>
  <si>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</si>
  <si>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</si>
  <si>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</si>
  <si>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</si>
  <si>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</si>
  <si>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</si>
  <si>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</si>
  <si>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</si>
  <si>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</si>
  <si>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</si>
  <si>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</si>
  <si>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</si>
  <si>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</si>
  <si>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</si>
  <si>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</si>
  <si>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</si>
  <si>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</si>
  <si>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</si>
  <si>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</si>
  <si>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</si>
  <si>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</si>
  <si>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</si>
  <si>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</si>
  <si>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</si>
  <si>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</si>
  <si>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</si>
  <si>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</si>
  <si>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</si>
  <si>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</si>
  <si>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</si>
  <si>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</si>
  <si>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</si>
  <si>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</si>
  <si>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</si>
  <si>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</si>
  <si>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</si>
  <si>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</si>
  <si>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</si>
  <si>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</si>
  <si>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</si>
  <si>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</si>
  <si>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</si>
  <si>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</si>
  <si>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</si>
  <si>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</si>
  <si>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</si>
  <si>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</si>
  <si>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</si>
  <si>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</si>
  <si>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</si>
  <si>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</si>
  <si>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</si>
  <si>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</si>
  <si>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</si>
  <si>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</si>
  <si>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</si>
  <si>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</si>
  <si>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</si>
  <si>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</si>
  <si>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</si>
  <si>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</si>
  <si>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</si>
  <si>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</si>
  <si>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</si>
  <si>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</si>
  <si>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</si>
  <si>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</si>
  <si>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</si>
  <si>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</si>
  <si>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</si>
  <si>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</si>
  <si>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</si>
  <si>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</si>
  <si>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</si>
  <si>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</si>
  <si>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</si>
  <si>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</si>
  <si>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</si>
  <si>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</si>
  <si>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</si>
  <si>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</si>
  <si>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</si>
  <si>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</si>
  <si>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</si>
  <si>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</si>
  <si>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</si>
  <si>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</si>
  <si>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</si>
  <si>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</si>
  <si>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</si>
  <si>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</si>
  <si>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</si>
  <si>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</si>
  <si>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</si>
  <si>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</si>
  <si>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</si>
  <si>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</si>
  <si>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</si>
  <si>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</si>
  <si>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</si>
  <si>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</si>
  <si>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</si>
  <si>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</si>
  <si>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</si>
  <si>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</si>
  <si>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</si>
  <si>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</si>
  <si>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</si>
  <si>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</si>
  <si>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</si>
  <si>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</si>
  <si>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</si>
  <si>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</si>
  <si>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</si>
  <si>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</si>
  <si>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</si>
  <si>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</si>
  <si>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</si>
  <si>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</si>
  <si>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</si>
  <si>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</si>
  <si>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</si>
  <si>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</si>
  <si>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</si>
  <si>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</si>
  <si>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</si>
  <si>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</si>
  <si>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</si>
  <si>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</si>
  <si>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</si>
  <si>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</si>
  <si>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</si>
  <si>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</si>
  <si>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</si>
  <si>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</si>
  <si>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</si>
  <si>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</si>
  <si>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</si>
  <si>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</si>
  <si>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</si>
  <si>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</si>
  <si>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</si>
  <si>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</si>
  <si>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</si>
  <si>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</si>
  <si>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</si>
  <si>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</si>
  <si>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</si>
  <si>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</si>
  <si>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</si>
  <si>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</si>
  <si>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</si>
  <si>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</si>
  <si>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</si>
  <si>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</si>
  <si>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</si>
  <si>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</si>
  <si>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</si>
  <si>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</si>
  <si>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</si>
  <si>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</si>
  <si>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</si>
  <si>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</si>
  <si>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</si>
  <si>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</si>
  <si>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</si>
  <si>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</si>
  <si>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</si>
  <si>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</si>
  <si>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</si>
  <si>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</si>
  <si>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</si>
  <si>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</si>
  <si>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</si>
  <si>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</si>
  <si>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</si>
  <si>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</si>
  <si>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</si>
  <si>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</si>
  <si>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</si>
  <si>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</si>
  <si>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</si>
  <si>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</si>
  <si>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</si>
  <si>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</si>
  <si>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</si>
  <si>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</si>
  <si>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</si>
  <si>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</si>
  <si>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</si>
  <si>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</si>
  <si>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</si>
  <si>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</si>
  <si>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</si>
  <si>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</si>
  <si>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</si>
  <si>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</si>
  <si>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</si>
  <si>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</si>
  <si>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</si>
  <si>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</si>
  <si>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</si>
  <si>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</si>
  <si>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</si>
  <si>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</si>
  <si>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</si>
  <si>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</si>
  <si>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</si>
  <si>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</si>
  <si>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</si>
  <si>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</si>
  <si>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</si>
  <si>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</si>
  <si>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</si>
  <si>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</si>
  <si>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</si>
  <si>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</si>
  <si>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</si>
  <si>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</si>
  <si>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</si>
  <si>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</si>
  <si>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</si>
  <si>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</si>
  <si>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</si>
  <si>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</si>
  <si>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</si>
  <si>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</si>
  <si>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</si>
  <si>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</si>
  <si>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</si>
  <si>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</si>
  <si>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</si>
  <si>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</si>
  <si>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</si>
  <si>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</si>
  <si>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</si>
  <si>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</si>
  <si>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</si>
  <si>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</si>
  <si>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</si>
  <si>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</si>
  <si>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</si>
  <si>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</si>
  <si>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</si>
  <si>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</si>
  <si>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</si>
  <si>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</si>
  <si>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</si>
  <si>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</si>
  <si>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</si>
  <si>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</si>
  <si>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</si>
  <si>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</si>
  <si>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</si>
  <si>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</si>
  <si>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</si>
  <si>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</si>
  <si>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</si>
  <si>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</si>
  <si>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</si>
  <si>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</si>
  <si>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</si>
  <si>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</si>
  <si>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</si>
  <si>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</si>
  <si>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</si>
  <si>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</si>
  <si>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</si>
  <si>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</si>
  <si>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</si>
  <si>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</si>
  <si>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</si>
  <si>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</si>
  <si>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</si>
  <si>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</si>
  <si>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</si>
  <si>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</si>
  <si>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</si>
  <si>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</si>
  <si>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</si>
  <si>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</si>
  <si>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</si>
  <si>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</si>
  <si>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</si>
  <si>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</si>
  <si>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</si>
  <si>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</si>
  <si>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</si>
  <si>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</si>
  <si>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</si>
  <si>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</si>
  <si>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</si>
  <si>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</si>
  <si>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</si>
  <si>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</si>
  <si>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</si>
  <si>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</si>
  <si>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</si>
  <si>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</si>
  <si>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</si>
  <si>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</si>
  <si>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</si>
  <si>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</si>
  <si>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</si>
  <si>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</si>
  <si>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</si>
  <si>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</si>
  <si>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</si>
  <si>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</si>
  <si>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</si>
  <si>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</si>
  <si>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</si>
  <si>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</si>
  <si>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</si>
  <si>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</si>
  <si>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</si>
  <si>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</si>
  <si>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</si>
  <si>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</si>
  <si>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</si>
  <si>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</si>
  <si>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</si>
  <si>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</si>
  <si>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</si>
  <si>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</si>
  <si>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</si>
  <si>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</si>
  <si>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</si>
  <si>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</si>
  <si>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</si>
  <si>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</si>
  <si>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</si>
  <si>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</si>
  <si>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</si>
  <si>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</si>
  <si>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</si>
  <si>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</si>
  <si>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</si>
  <si>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</si>
  <si>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</si>
  <si>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</si>
  <si>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</si>
  <si>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</si>
  <si>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</si>
  <si>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</si>
  <si>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</si>
  <si>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</si>
  <si>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</si>
  <si>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</si>
  <si>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</si>
  <si>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</si>
  <si>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</si>
  <si>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</si>
  <si>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</si>
  <si>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</si>
  <si>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</si>
  <si>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</si>
  <si>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</si>
  <si>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</si>
  <si>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</si>
  <si>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</si>
  <si>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</si>
  <si>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</si>
  <si>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</si>
  <si>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</si>
  <si>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</si>
  <si>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</si>
  <si>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</si>
  <si>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</si>
  <si>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</si>
  <si>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</si>
  <si>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</si>
  <si>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</si>
  <si>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</si>
  <si>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</si>
  <si>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</si>
  <si>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</si>
  <si>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</si>
  <si>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</si>
  <si>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</si>
  <si>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</si>
  <si>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</si>
  <si>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</si>
  <si>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</si>
  <si>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</si>
  <si>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</si>
  <si>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</si>
  <si>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</si>
  <si>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</si>
  <si>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</si>
  <si>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</si>
  <si>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</si>
  <si>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</si>
  <si>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</si>
  <si>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</si>
  <si>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</si>
  <si>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</si>
  <si>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</si>
  <si>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</si>
  <si>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</si>
  <si>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</si>
  <si>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</si>
  <si>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</si>
  <si>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</si>
  <si>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</si>
  <si>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</si>
  <si>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</si>
  <si>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</si>
  <si>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</si>
  <si>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</si>
  <si>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</si>
  <si>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</si>
  <si>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</si>
  <si>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</si>
  <si>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</si>
  <si>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</si>
  <si>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</si>
  <si>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</si>
  <si>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</si>
  <si>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</si>
  <si>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</si>
  <si>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</si>
  <si>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</si>
  <si>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</si>
  <si>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</si>
  <si>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</si>
  <si>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</si>
  <si>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</si>
  <si>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</si>
  <si>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</si>
  <si>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</si>
  <si>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</si>
  <si>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</si>
  <si>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</si>
  <si>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</si>
  <si>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</si>
  <si>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</si>
  <si>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</si>
  <si>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</si>
  <si>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</si>
  <si>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</si>
  <si>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</si>
  <si>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</si>
  <si>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</si>
  <si>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</si>
  <si>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</si>
  <si>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</si>
  <si>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</si>
  <si>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</si>
  <si>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</si>
  <si>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</si>
  <si>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</si>
  <si>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</si>
  <si>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</si>
  <si>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</si>
  <si>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</si>
  <si>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</si>
  <si>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</si>
  <si>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</si>
  <si>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</si>
  <si>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</si>
  <si>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</si>
  <si>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</si>
  <si>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</si>
  <si>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</si>
  <si>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</si>
  <si>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</si>
  <si>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</si>
  <si>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</si>
  <si>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</si>
  <si>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</si>
  <si>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</si>
  <si>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</si>
  <si>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</si>
  <si>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</si>
  <si>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</si>
  <si>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</si>
  <si>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</si>
  <si>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</si>
  <si>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</si>
  <si>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</si>
  <si>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</si>
  <si>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</si>
  <si>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</si>
  <si>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</si>
  <si>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</si>
  <si>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</si>
  <si>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</si>
  <si>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</si>
  <si>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</si>
  <si>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</si>
  <si>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</si>
  <si>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</si>
  <si>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</si>
  <si>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</si>
  <si>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</si>
  <si>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</si>
  <si>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</si>
  <si>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</si>
  <si>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</si>
  <si>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</si>
  <si>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</si>
  <si>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</si>
  <si>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</si>
  <si>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</si>
  <si>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</si>
  <si>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</si>
  <si>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</si>
  <si>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</si>
  <si>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</si>
  <si>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</si>
  <si>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</si>
  <si>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</si>
  <si>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</si>
  <si>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</si>
  <si>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</si>
  <si>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</si>
  <si>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</si>
  <si>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</si>
  <si>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</si>
  <si>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</si>
  <si>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</si>
  <si>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</si>
  <si>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</si>
  <si>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</si>
  <si>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</si>
  <si>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</si>
  <si>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</si>
  <si>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</si>
  <si>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</si>
  <si>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</si>
  <si>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</si>
  <si>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</si>
  <si>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</si>
  <si>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</si>
  <si>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</si>
  <si>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</si>
  <si>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</si>
  <si>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</si>
  <si>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</si>
  <si>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</si>
  <si>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CADIZ</t>
  </si>
  <si>
    <t>Resumenes por Partidos Judiciales</t>
  </si>
  <si>
    <t>JEREZ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</si>
</sst>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250</v>
      </c>
    </row>
    <row r="3" spans="1:19" ht="23.25" thickBot="1">
      <c r="A3" s="1347" t="s">
        <v>112</v>
      </c>
      <c r="B3" s="1348"/>
      <c r="C3" s="1348"/>
      <c r="D3" s="1349"/>
      <c r="E3" s="376"/>
      <c r="F3" s="2"/>
      <c r="Q3" s="356">
        <v>1</v>
      </c>
      <c r="R3" s="356">
        <v>3</v>
      </c>
      <c r="S3" t="b">
        <f>AND(Q3&gt;=TrimIni,Q3&lt;=TrimFin)</f>
        <v>1</v>
      </c>
    </row>
    <row r="4" spans="1:19" ht="22.5" customHeight="1" thickBot="1">
      <c r="A4" s="377" t="s">
        <v>971</v>
      </c>
      <c r="B4" s="376"/>
      <c r="C4" s="376"/>
      <c r="D4" s="376"/>
      <c r="E4" s="376"/>
      <c r="F4" s="2"/>
      <c r="Q4" s="356">
        <v>2</v>
      </c>
      <c r="R4" s="356">
        <v>3</v>
      </c>
      <c r="S4" t="b">
        <f>AND(Q4&gt;=TrimIni,Q4&lt;=TrimFin)</f>
        <v>0</v>
      </c>
    </row>
    <row r="5" spans="1:19" ht="15.75" thickBot="1">
      <c r="A5" s="378" t="s">
        <v>38</v>
      </c>
      <c r="B5" s="379">
        <v>2023</v>
      </c>
      <c r="C5" s="380" t="s">
        <v>237</v>
      </c>
      <c r="D5" s="381">
        <v>1</v>
      </c>
      <c r="E5" s="382"/>
      <c r="F5" s="3"/>
      <c r="H5" t="s">
        <v>465</v>
      </c>
      <c r="Q5" s="356">
        <v>3</v>
      </c>
      <c r="R5" s="356">
        <v>2</v>
      </c>
      <c r="S5" t="b">
        <f>AND(Q5&gt;=TrimIni,Q5&lt;=TrimFin)</f>
        <v>0</v>
      </c>
    </row>
    <row r="6" spans="1:19" ht="15">
      <c r="A6" s="383"/>
      <c r="B6" s="382"/>
      <c r="C6" s="380" t="s">
        <v>238</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972</v>
      </c>
      <c r="B9" s="385" t="s">
        <v>973</v>
      </c>
      <c r="C9" s="382"/>
      <c r="D9" s="382"/>
      <c r="E9" s="391"/>
      <c r="F9" s="3"/>
    </row>
    <row r="10" spans="1:19">
      <c r="A10" s="390" t="s">
        <v>974</v>
      </c>
      <c r="B10" s="382" t="s">
        <v>975</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136</v>
      </c>
      <c r="B13" s="396" t="s">
        <v>58</v>
      </c>
      <c r="C13" s="937" t="s">
        <v>794</v>
      </c>
      <c r="D13" s="382" t="s">
        <v>58</v>
      </c>
      <c r="E13" s="382"/>
      <c r="F13" s="3"/>
    </row>
    <row r="14" spans="1:19" ht="15">
      <c r="A14" s="397" t="s">
        <v>93</v>
      </c>
      <c r="B14" s="398" t="s">
        <v>139</v>
      </c>
      <c r="C14" s="382"/>
      <c r="D14" s="382"/>
      <c r="E14" s="382"/>
      <c r="F14" s="3"/>
    </row>
    <row r="15" spans="1:19" ht="13.5" thickBot="1">
      <c r="A15" s="266"/>
      <c r="B15" s="4"/>
      <c r="C15" s="4"/>
      <c r="D15" s="4"/>
      <c r="E15" s="4"/>
      <c r="F15" s="5"/>
    </row>
    <row r="16" spans="1:19" ht="23.25">
      <c r="A16" s="70"/>
    </row>
  </sheetData>
  <sheetProtection algorithmName="SHA-512" hashValue="qUsTV+BYQNRRPLQn8dfJJj2l1WTJiAwSQfAP8IZUF0c6lx0Vi4NnExVEUxSvKkv7xMjND1eQ9tqJSSX7st3OOA==" saltValue="hex0VgS2r5jbrGwkHbDsY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394</v>
      </c>
      <c r="E3" s="534"/>
    </row>
    <row r="4" spans="1:31" s="489" customFormat="1" ht="15.75" thickBot="1">
      <c r="A4" s="1246" t="s">
        <v>399</v>
      </c>
      <c r="B4" s="1257" t="str">
        <f>Criterios!B9</f>
        <v>ANDALUCIA</v>
      </c>
      <c r="C4" s="1247"/>
      <c r="D4" s="1247"/>
      <c r="E4" s="1248"/>
      <c r="F4" s="1247"/>
      <c r="G4" s="591"/>
      <c r="H4" s="1510" t="s">
        <v>400</v>
      </c>
      <c r="I4" s="1511"/>
      <c r="J4" s="1511"/>
      <c r="K4" s="1511"/>
      <c r="L4" s="1511"/>
      <c r="M4" s="1249"/>
      <c r="N4" s="1510" t="s">
        <v>401</v>
      </c>
      <c r="O4" s="1511"/>
      <c r="P4" s="1511"/>
      <c r="Q4" s="1511"/>
      <c r="R4" s="1511"/>
      <c r="S4" s="1511"/>
      <c r="T4" s="1511"/>
      <c r="U4" s="1511"/>
      <c r="V4" s="1511"/>
      <c r="W4" s="1511"/>
      <c r="X4" s="1511"/>
      <c r="Y4" s="1511"/>
      <c r="Z4" s="1511"/>
      <c r="AA4" s="1511"/>
      <c r="AB4" s="1511"/>
      <c r="AC4" s="1511"/>
      <c r="AD4" s="1512"/>
    </row>
    <row r="5" spans="1:31" s="489" customFormat="1" ht="15.75" customHeight="1">
      <c r="A5" s="1494" t="s">
        <v>390</v>
      </c>
      <c r="B5" s="1496" t="str">
        <f>"Año:  " &amp;Criterios!B5 &amp; "      Trimestre   " &amp;Criterios!D5 &amp; " al " &amp;Criterios!D6</f>
        <v>Año:  2023      Trimestre   1 al 1</v>
      </c>
      <c r="C5" s="1484" t="s">
        <v>287</v>
      </c>
      <c r="D5" s="1486" t="s">
        <v>140</v>
      </c>
      <c r="E5" s="1486" t="s">
        <v>95</v>
      </c>
      <c r="F5" s="1490" t="s">
        <v>9</v>
      </c>
      <c r="G5" s="1489"/>
      <c r="H5" s="1513" t="s">
        <v>395</v>
      </c>
      <c r="I5" s="1492" t="s">
        <v>397</v>
      </c>
      <c r="J5" s="1513" t="s">
        <v>396</v>
      </c>
      <c r="K5" s="1488" t="s">
        <v>331</v>
      </c>
      <c r="L5" s="1488" t="s">
        <v>398</v>
      </c>
      <c r="M5" s="1488" t="s">
        <v>392</v>
      </c>
      <c r="N5" s="1500"/>
      <c r="O5" s="1501"/>
      <c r="P5" s="532"/>
      <c r="Q5" s="1504" t="s">
        <v>503</v>
      </c>
      <c r="R5" s="1505"/>
      <c r="S5" s="1506"/>
      <c r="T5" s="1516"/>
      <c r="U5" s="1517"/>
      <c r="V5" s="1518"/>
      <c r="W5" s="1504" t="s">
        <v>298</v>
      </c>
      <c r="X5" s="1505"/>
      <c r="Y5" s="1505"/>
      <c r="Z5" s="1506"/>
      <c r="AA5" s="1504" t="s">
        <v>498</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251</v>
      </c>
      <c r="O7" s="1252" t="s">
        <v>433</v>
      </c>
      <c r="P7" s="1253" t="s">
        <v>434</v>
      </c>
      <c r="Q7" s="1254" t="s">
        <v>435</v>
      </c>
      <c r="R7" s="1253" t="s">
        <v>426</v>
      </c>
      <c r="S7" s="1254" t="s">
        <v>902</v>
      </c>
      <c r="T7" s="1310" t="s">
        <v>903</v>
      </c>
      <c r="U7" s="1310" t="s">
        <v>904</v>
      </c>
      <c r="V7" s="1310" t="s">
        <v>905</v>
      </c>
      <c r="W7" s="1252" t="s">
        <v>499</v>
      </c>
      <c r="X7" s="1328" t="s">
        <v>922</v>
      </c>
      <c r="Y7" s="1328" t="s">
        <v>923</v>
      </c>
      <c r="Z7" s="1329" t="s">
        <v>924</v>
      </c>
      <c r="AA7" s="1255" t="s">
        <v>499</v>
      </c>
      <c r="AB7" s="1326" t="s">
        <v>500</v>
      </c>
      <c r="AC7" s="1326" t="s">
        <v>925</v>
      </c>
      <c r="AD7" s="1327" t="s">
        <v>926</v>
      </c>
      <c r="AE7" s="1256" t="s">
        <v>900</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7</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f>IF(ISNUMBER(NºAsuntos!I9/NºAsuntos!G9),(NºAsuntos!I9/NºAsuntos!G9)*11," - ")</f>
        <v>26.356718634001489</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131</v>
      </c>
      <c r="D10" s="230">
        <f>IF(ISNUMBER(Datos!I10),Datos!I10," - ")</f>
        <v>134</v>
      </c>
      <c r="E10" s="231">
        <f>IF(ISNUMBER(Datos!J10),Datos!J10," - ")</f>
        <v>64</v>
      </c>
      <c r="F10" s="231">
        <f>IF(ISNUMBER(Datos!K10),Datos!K10," - ")</f>
        <v>59</v>
      </c>
      <c r="G10" s="1193" t="str">
        <f>IF(Datos!E10&lt;&gt;"",Datos!E10,Datos!D10)</f>
        <v>37</v>
      </c>
      <c r="H10" s="232">
        <f>IF(ISNUMBER(Datos!L10),Datos!L10," - ")</f>
        <v>136</v>
      </c>
      <c r="I10" s="1203" t="str">
        <f>IF(ISNUMBER(Datos!AS10/Datos!BM10),Datos!AS10/Datos!BM10," - ")</f>
        <v xml:space="preserve"> - </v>
      </c>
      <c r="J10" s="1204">
        <f>IF(ISNUMBER(Datos!BY10/Datos!CN10),Datos!BY10/Datos!CN10," - ")</f>
        <v>0</v>
      </c>
      <c r="K10" s="235">
        <f t="shared" ref="K10:K13" si="1">IF(ISNUMBER((E10-F10)/C10),(E10-F10)/C10," - ")</f>
        <v>3.8167938931297711E-2</v>
      </c>
      <c r="L10" s="1205">
        <f>IF(ISNUMBER(NºAsuntos!I10/NºAsuntos!G10),(NºAsuntos!I10/NºAsuntos!G10)*11," - ")</f>
        <v>25.35593220338983</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1</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f>IF(ISNUMBER(NºAsuntos!I11/NºAsuntos!G11),(NºAsuntos!I11/NºAsuntos!G11)*11," - ")</f>
        <v>25.548387096774196</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0</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t="str">
        <f>IF(ISNUMBER(NºAsuntos!I12/NºAsuntos!G12),(NºAsuntos!I12/NºAsuntos!G12)*11," - ")</f>
        <v xml:space="preserve"> - </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1</v>
      </c>
      <c r="B13" s="1258" t="str">
        <f>Datos!A13</f>
        <v xml:space="preserve">Jdos. de Menores    </v>
      </c>
      <c r="C13" s="230">
        <f t="shared" si="0"/>
        <v>0</v>
      </c>
      <c r="D13" s="230">
        <f>IF(ISNUMBER(Datos!I13),Datos!I13," - ")</f>
        <v>0</v>
      </c>
      <c r="E13" s="231">
        <f>IF(ISNUMBER(Datos!J13),Datos!J13," - ")</f>
        <v>0</v>
      </c>
      <c r="F13" s="231">
        <f>IF(ISNUMBER(Datos!K13),Datos!K13," - ")</f>
        <v>0</v>
      </c>
      <c r="G13" s="1193" t="str">
        <f>IF(Datos!E13&lt;&gt;"",Datos!E13,Datos!D13)</f>
        <v>07</v>
      </c>
      <c r="H13" s="232">
        <f>IF(ISNUMBER(Datos!L13),Datos!L13," - ")</f>
        <v>0</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131</v>
      </c>
      <c r="D14" s="1210">
        <f>SUBTOTAL(9,D9:D13)</f>
        <v>134</v>
      </c>
      <c r="E14" s="1211">
        <f>SUBTOTAL(9,E9:E13)</f>
        <v>64</v>
      </c>
      <c r="F14" s="1212">
        <f>SUBTOTAL(9,F9:F13)</f>
        <v>59</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5</v>
      </c>
      <c r="B16" s="1258" t="str">
        <f>Datos!A16</f>
        <v xml:space="preserve">Jdos. Instrucción                               </v>
      </c>
      <c r="C16" s="230">
        <f t="shared" ref="C16:C19" si="2">IF(ISNUMBER(H16-E16+F16),H16-E16+F16," - ")</f>
        <v>1845</v>
      </c>
      <c r="D16" s="230">
        <f>IF(ISNUMBER(IF(D_I="SI",Datos!I16,Datos!I16+Datos!AC16)),IF(D_I="SI",Datos!I16,Datos!I16+Datos!AC16)," - ")</f>
        <v>1832</v>
      </c>
      <c r="E16" s="231">
        <f>IF(ISNUMBER(IF(D_I="SI",Datos!J16,Datos!J16+Datos!AD16)),IF(D_I="SI",Datos!J16,Datos!J16+Datos!AD16)," - ")</f>
        <v>2235</v>
      </c>
      <c r="F16" s="231">
        <f>IF(ISNUMBER(IF(D_I="SI",Datos!K16,Datos!K16+Datos!AE16)),IF(D_I="SI",Datos!K16,Datos!K16+Datos!AE16)," - ")</f>
        <v>1923</v>
      </c>
      <c r="G16" s="1193" t="str">
        <f>IF(Datos!E16&lt;&gt;"",Datos!E16,Datos!D16)</f>
        <v>03</v>
      </c>
      <c r="H16" s="232">
        <f>IF(ISNUMBER(IF(D_I="SI",Datos!L16,Datos!L16+Datos!AF16)),IF(D_I="SI",Datos!L16,Datos!L16+Datos!AF16)," - ")</f>
        <v>2157</v>
      </c>
      <c r="I16" s="1203" t="str">
        <f>IF(ISNUMBER(Datos!AS16/Datos!BM16),Datos!AS16/Datos!BM16," - ")</f>
        <v xml:space="preserve"> - </v>
      </c>
      <c r="J16" s="1204">
        <f>IF(ISNUMBER(Datos!BY16/Datos!CN16),Datos!BY16/Datos!CN16," - ")</f>
        <v>0</v>
      </c>
      <c r="K16" s="235">
        <f t="shared" ref="K16:K19" si="3">IF(ISNUMBER((E16-F16)/C16),(E16-F16)/C16," - ")</f>
        <v>0.16910569105691056</v>
      </c>
      <c r="L16" s="1205">
        <f>IF(ISNUMBER(NºAsuntos!I16/NºAsuntos!G16),(NºAsuntos!I16/NºAsuntos!G16)*11," - ")</f>
        <v>12.338533541341654</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0</v>
      </c>
      <c r="B17" s="1258" t="str">
        <f>Datos!A17</f>
        <v xml:space="preserve">Jdos. 1ª Instª. e Instr.                        </v>
      </c>
      <c r="C17" s="230" t="str">
        <f t="shared" si="2"/>
        <v xml:space="preserve"> - </v>
      </c>
      <c r="D17" s="230" t="str">
        <f>IF(ISNUMBER(IF(D_I="SI",Datos!I17,Datos!I17+Datos!AC17)),IF(D_I="SI",Datos!I17,Datos!I17+Datos!AC17)," - ")</f>
        <v xml:space="preserve"> - </v>
      </c>
      <c r="E17" s="231" t="str">
        <f>IF(ISNUMBER(IF(D_I="SI",Datos!J17,Datos!J17+Datos!AD17)),IF(D_I="SI",Datos!J17,Datos!J17+Datos!AD17)," - ")</f>
        <v xml:space="preserve"> - </v>
      </c>
      <c r="F17" s="231" t="str">
        <f>IF(ISNUMBER(IF(D_I="SI",Datos!K17,Datos!K17+Datos!AE17)),IF(D_I="SI",Datos!K17,Datos!K17+Datos!AE17)," - ")</f>
        <v xml:space="preserve"> - </v>
      </c>
      <c r="G17" s="1193" t="str">
        <f>IF(Datos!E17&lt;&gt;"",Datos!E17,Datos!D17)</f>
        <v>04</v>
      </c>
      <c r="H17" s="232" t="str">
        <f>IF(ISNUMBER(IF(D_I="SI",Datos!L17,Datos!L17+Datos!AF17)),IF(D_I="SI",Datos!L17,Datos!L17+Datos!AF17)," - ")</f>
        <v xml:space="preserve"> - </v>
      </c>
      <c r="I17" s="1203" t="str">
        <f>IF(ISNUMBER(Datos!AS17/Datos!BM17),Datos!AS17/Datos!BM17," - ")</f>
        <v xml:space="preserve"> - </v>
      </c>
      <c r="J17" s="1204">
        <f>IF(ISNUMBER(Datos!BY17/Datos!CN17),Datos!BY17/Datos!CN17," - ")</f>
        <v>0</v>
      </c>
      <c r="K17" s="235" t="str">
        <f t="shared" si="3"/>
        <v xml:space="preserve"> - </v>
      </c>
      <c r="L17" s="1205" t="str">
        <f>IF(ISNUMBER(NºAsuntos!I17/NºAsuntos!G17),(NºAsuntos!I17/NºAsuntos!G17)*11," - ")</f>
        <v xml:space="preserve"> - </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276</v>
      </c>
      <c r="D18" s="230">
        <f>IF(ISNUMBER(IF(D_I="SI",Datos!I18,Datos!I18+Datos!AC18)),IF(D_I="SI",Datos!I18,Datos!I18+Datos!AC18)," - ")</f>
        <v>276</v>
      </c>
      <c r="E18" s="231">
        <f>IF(ISNUMBER(IF(D_I="SI",Datos!J18,Datos!J18+Datos!AD18)),IF(D_I="SI",Datos!J18,Datos!J18+Datos!AD18)," - ")</f>
        <v>352</v>
      </c>
      <c r="F18" s="231">
        <f>IF(ISNUMBER(IF(D_I="SI",Datos!K18,Datos!K18+Datos!AE18)),IF(D_I="SI",Datos!K18,Datos!K18+Datos!AE18)," - ")</f>
        <v>346</v>
      </c>
      <c r="G18" s="1193" t="str">
        <f>IF(Datos!E18&lt;&gt;"",Datos!E18,Datos!D18)</f>
        <v>37</v>
      </c>
      <c r="H18" s="232">
        <f>IF(ISNUMBER(IF(D_I="SI",Datos!L18,Datos!L18+Datos!AF18)),IF(D_I="SI",Datos!L18,Datos!L18+Datos!AF18)," - ")</f>
        <v>282</v>
      </c>
      <c r="I18" s="1203" t="str">
        <f>IF(ISNUMBER(Datos!AS18/Datos!BM18),Datos!AS18/Datos!BM18," - ")</f>
        <v xml:space="preserve"> - </v>
      </c>
      <c r="J18" s="1204" t="str">
        <f>IF(ISNUMBER((Datos!BY18+Datos!BZ18)/Datos!CN18),(Datos!BY18+Datos!BZ18)/Datos!CN18," - ")</f>
        <v xml:space="preserve"> - </v>
      </c>
      <c r="K18" s="235">
        <f t="shared" si="3"/>
        <v>2.1739130434782608E-2</v>
      </c>
      <c r="L18" s="1205">
        <f>IF(ISNUMBER(NºAsuntos!I18/NºAsuntos!G18),(NºAsuntos!I18/NºAsuntos!G18)*11," - ")</f>
        <v>8.9653179190751437</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1</v>
      </c>
      <c r="B19" s="1258" t="str">
        <f>Datos!A19</f>
        <v xml:space="preserve">Jdos. de Menores                                </v>
      </c>
      <c r="C19" s="230">
        <f t="shared" si="2"/>
        <v>110</v>
      </c>
      <c r="D19" s="230">
        <f>IF(ISNUMBER(Datos!I19),Datos!I19," - ")</f>
        <v>110</v>
      </c>
      <c r="E19" s="231">
        <f>IF(ISNUMBER(Datos!J19),Datos!J19," - ")</f>
        <v>61</v>
      </c>
      <c r="F19" s="231">
        <f>IF(ISNUMBER(Datos!K19),Datos!K19," - ")</f>
        <v>82</v>
      </c>
      <c r="G19" s="1193" t="str">
        <f>IF(Datos!E19&lt;&gt;"",Datos!E19,Datos!D19)</f>
        <v>07</v>
      </c>
      <c r="H19" s="232">
        <f>IF(ISNUMBER(Datos!L19),Datos!L19," - ")</f>
        <v>89</v>
      </c>
      <c r="I19" s="1203" t="str">
        <f>IF(ISNUMBER(Datos!AS19/Datos!BM19),Datos!AS19/Datos!BM19," - ")</f>
        <v xml:space="preserve"> - </v>
      </c>
      <c r="J19" s="1204">
        <f>IF(ISNUMBER(Datos!BY19/Datos!CN19),Datos!BY19/Datos!CN19," - ")</f>
        <v>0</v>
      </c>
      <c r="K19" s="235">
        <f t="shared" si="3"/>
        <v>-0.19090909090909092</v>
      </c>
      <c r="L19" s="1205">
        <f>IF(ISNUMBER(NºAsuntos!I19/NºAsuntos!G19),(NºAsuntos!I19/NºAsuntos!G19)*11," - ")</f>
        <v>11.939024390243903</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2231</v>
      </c>
      <c r="D20" s="1210">
        <f>SUBTOTAL(9,D16:D19)</f>
        <v>2218</v>
      </c>
      <c r="E20" s="1211">
        <f>SUBTOTAL(9,E16:E19)</f>
        <v>2648</v>
      </c>
      <c r="F20" s="1211">
        <f>SUBTOTAL(9,F16:F19)</f>
        <v>2351</v>
      </c>
      <c r="G20" s="1213" t="str">
        <f ca="1">INDIRECT(CONCATENATE("G",ROW()-1))</f>
        <v>07</v>
      </c>
      <c r="H20" s="1214">
        <f ca="1">SUMIF(G$15:G19,G20,H$15:H19)</f>
        <v>89</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2362</v>
      </c>
      <c r="D21" s="1232">
        <f>SUBTOTAL(9,D9:D20)</f>
        <v>2352</v>
      </c>
      <c r="E21" s="1233">
        <f>SUBTOTAL(9,E9:E20)</f>
        <v>2712</v>
      </c>
      <c r="F21" s="1233">
        <f>SUBTOTAL(9,F9:F20)</f>
        <v>2410</v>
      </c>
      <c r="G21" s="1234"/>
      <c r="H21" s="1235">
        <f ca="1">SUMIF(B9:B20,"TOTAL",H9:H20)</f>
        <v>89</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697</v>
      </c>
      <c r="O27" s="1522"/>
      <c r="P27" s="1522"/>
      <c r="Q27" s="1522"/>
      <c r="R27" s="1522"/>
      <c r="S27" s="1522"/>
      <c r="T27" s="1522"/>
      <c r="U27" s="1522"/>
      <c r="V27" s="1522"/>
      <c r="W27" s="1522"/>
      <c r="Y27" s="1522" t="s">
        <v>698</v>
      </c>
      <c r="Z27" s="1522"/>
      <c r="AA27" s="1522"/>
      <c r="AB27" s="1522"/>
      <c r="AC27" s="1522"/>
    </row>
    <row r="29" spans="1:31">
      <c r="N29" s="1189" t="s">
        <v>699</v>
      </c>
      <c r="O29" s="1523" t="s">
        <v>700</v>
      </c>
      <c r="P29" s="1523"/>
      <c r="Q29" s="1523"/>
      <c r="R29" s="1523"/>
      <c r="S29" s="1523"/>
      <c r="T29" s="1523"/>
      <c r="U29" s="1523"/>
      <c r="V29" s="1523"/>
      <c r="W29" s="1523"/>
      <c r="Y29" s="1189" t="s">
        <v>699</v>
      </c>
      <c r="Z29" s="1524" t="s">
        <v>701</v>
      </c>
      <c r="AA29" s="1524"/>
      <c r="AB29" s="1524"/>
      <c r="AC29" s="1524"/>
    </row>
    <row r="30" spans="1:31">
      <c r="N30" s="1189" t="s">
        <v>702</v>
      </c>
      <c r="O30" s="1523" t="s">
        <v>703</v>
      </c>
      <c r="P30" s="1523"/>
      <c r="Q30" s="1523"/>
      <c r="R30" s="1523"/>
      <c r="S30" s="1523"/>
      <c r="T30" s="1523"/>
      <c r="U30" s="1523"/>
      <c r="V30" s="1523"/>
      <c r="W30" s="1523"/>
      <c r="Y30" s="1189" t="s">
        <v>702</v>
      </c>
      <c r="Z30" s="1524" t="s">
        <v>704</v>
      </c>
      <c r="AA30" s="1524"/>
      <c r="AB30" s="1524"/>
      <c r="AC30" s="1524"/>
    </row>
    <row r="31" spans="1:31">
      <c r="N31" s="1189" t="s">
        <v>705</v>
      </c>
      <c r="O31" s="1523" t="s">
        <v>706</v>
      </c>
      <c r="P31" s="1523"/>
      <c r="Q31" s="1523"/>
      <c r="R31" s="1523"/>
      <c r="S31" s="1523"/>
      <c r="T31" s="1523"/>
      <c r="U31" s="1523"/>
      <c r="V31" s="1523"/>
      <c r="W31" s="1523"/>
      <c r="Y31" s="1189" t="s">
        <v>707</v>
      </c>
      <c r="Z31" s="1524" t="s">
        <v>708</v>
      </c>
      <c r="AA31" s="1524"/>
      <c r="AB31" s="1524"/>
      <c r="AC31" s="1524"/>
    </row>
    <row r="32" spans="1:31">
      <c r="N32" s="1189" t="s">
        <v>709</v>
      </c>
      <c r="O32" s="1523" t="s">
        <v>710</v>
      </c>
      <c r="P32" s="1523"/>
      <c r="Q32" s="1523"/>
      <c r="R32" s="1523"/>
      <c r="S32" s="1523"/>
      <c r="T32" s="1523"/>
      <c r="U32" s="1523"/>
      <c r="V32" s="1523"/>
      <c r="W32" s="1523"/>
      <c r="Y32" s="1189" t="s">
        <v>711</v>
      </c>
      <c r="Z32" s="1524" t="s">
        <v>712</v>
      </c>
      <c r="AA32" s="1524"/>
      <c r="AB32" s="1524"/>
      <c r="AC32" s="1524"/>
    </row>
    <row r="33" spans="14:29">
      <c r="N33" s="1189" t="s">
        <v>797</v>
      </c>
      <c r="O33" s="1523" t="s">
        <v>798</v>
      </c>
      <c r="P33" s="1523"/>
      <c r="Q33" s="1523"/>
      <c r="R33" s="1523"/>
      <c r="S33" s="1523"/>
      <c r="T33" s="1523"/>
      <c r="U33" s="1523"/>
      <c r="V33" s="1523"/>
      <c r="W33" s="1523"/>
      <c r="Y33" s="1189" t="s">
        <v>705</v>
      </c>
      <c r="Z33" s="1524" t="s">
        <v>706</v>
      </c>
      <c r="AA33" s="1524"/>
      <c r="AB33" s="1524"/>
      <c r="AC33" s="1524"/>
    </row>
    <row r="34" spans="14:29">
      <c r="N34" s="1189" t="s">
        <v>713</v>
      </c>
      <c r="O34" s="1523" t="s">
        <v>714</v>
      </c>
      <c r="P34" s="1523"/>
      <c r="Q34" s="1523"/>
      <c r="R34" s="1523"/>
      <c r="S34" s="1523"/>
      <c r="T34" s="1523"/>
      <c r="U34" s="1523"/>
      <c r="V34" s="1523"/>
      <c r="W34" s="1523"/>
      <c r="Y34" s="1189" t="s">
        <v>709</v>
      </c>
      <c r="Z34" s="1524" t="s">
        <v>710</v>
      </c>
      <c r="AA34" s="1524"/>
      <c r="AB34" s="1524"/>
      <c r="AC34" s="1524"/>
    </row>
    <row r="35" spans="14:29">
      <c r="N35" s="1189" t="s">
        <v>715</v>
      </c>
      <c r="O35" s="1523" t="s">
        <v>716</v>
      </c>
      <c r="P35" s="1523"/>
      <c r="Q35" s="1523"/>
      <c r="R35" s="1523"/>
      <c r="S35" s="1523"/>
      <c r="T35" s="1523"/>
      <c r="U35" s="1523"/>
      <c r="V35" s="1523"/>
      <c r="W35" s="1523"/>
      <c r="Y35" s="1189" t="s">
        <v>718</v>
      </c>
      <c r="Z35" s="1524" t="s">
        <v>719</v>
      </c>
      <c r="AA35" s="1524"/>
      <c r="AB35" s="1524"/>
      <c r="AC35" s="1524"/>
    </row>
    <row r="36" spans="14:29">
      <c r="N36" s="1189" t="s">
        <v>707</v>
      </c>
      <c r="O36" s="1523" t="s">
        <v>717</v>
      </c>
      <c r="P36" s="1523"/>
      <c r="Q36" s="1523"/>
      <c r="R36" s="1523"/>
      <c r="S36" s="1523"/>
      <c r="T36" s="1523"/>
      <c r="U36" s="1523"/>
      <c r="V36" s="1523"/>
      <c r="W36" s="1523"/>
      <c r="Y36" s="1189" t="s">
        <v>721</v>
      </c>
      <c r="Z36" s="1524" t="s">
        <v>722</v>
      </c>
      <c r="AA36" s="1524"/>
      <c r="AB36" s="1524"/>
      <c r="AC36" s="1524"/>
    </row>
    <row r="37" spans="14:29">
      <c r="N37" s="1189" t="s">
        <v>711</v>
      </c>
      <c r="O37" s="1523" t="s">
        <v>720</v>
      </c>
      <c r="P37" s="1523"/>
      <c r="Q37" s="1523"/>
      <c r="R37" s="1523"/>
      <c r="S37" s="1523"/>
      <c r="T37" s="1523"/>
      <c r="U37" s="1523"/>
      <c r="V37" s="1523"/>
      <c r="W37" s="1523"/>
      <c r="Y37" s="1190" t="s">
        <v>724</v>
      </c>
      <c r="Z37" s="1525" t="s">
        <v>725</v>
      </c>
      <c r="AA37" s="1525"/>
      <c r="AB37" s="1525"/>
      <c r="AC37" s="1525"/>
    </row>
    <row r="38" spans="14:29">
      <c r="N38" s="1189" t="s">
        <v>718</v>
      </c>
      <c r="O38" s="1523" t="s">
        <v>723</v>
      </c>
      <c r="P38" s="1523"/>
      <c r="Q38" s="1523"/>
      <c r="R38" s="1523"/>
      <c r="S38" s="1523"/>
      <c r="T38" s="1523"/>
      <c r="U38" s="1523"/>
      <c r="V38" s="1523"/>
      <c r="W38" s="1523"/>
      <c r="Y38" s="1189" t="s">
        <v>713</v>
      </c>
      <c r="Z38" s="1524" t="s">
        <v>714</v>
      </c>
      <c r="AA38" s="1524"/>
      <c r="AB38" s="1524"/>
      <c r="AC38" s="1524"/>
    </row>
    <row r="39" spans="14:29">
      <c r="N39" s="1189" t="s">
        <v>726</v>
      </c>
      <c r="O39" s="1523" t="s">
        <v>727</v>
      </c>
      <c r="P39" s="1523"/>
      <c r="Q39" s="1523"/>
      <c r="R39" s="1523"/>
      <c r="S39" s="1523"/>
      <c r="T39" s="1523"/>
      <c r="U39" s="1523"/>
      <c r="V39" s="1523"/>
      <c r="W39" s="1523"/>
      <c r="Y39" s="1191" t="s">
        <v>715</v>
      </c>
      <c r="Z39" s="1527" t="s">
        <v>716</v>
      </c>
      <c r="AA39" s="1527"/>
      <c r="AB39" s="1527"/>
      <c r="AC39" s="1527"/>
    </row>
    <row r="40" spans="14:29">
      <c r="N40" s="1189" t="s">
        <v>721</v>
      </c>
      <c r="O40" s="1523" t="s">
        <v>728</v>
      </c>
      <c r="P40" s="1523"/>
      <c r="Q40" s="1523"/>
      <c r="R40" s="1523"/>
      <c r="S40" s="1523"/>
      <c r="T40" s="1523"/>
      <c r="U40" s="1523"/>
      <c r="V40" s="1523"/>
      <c r="W40" s="1523"/>
    </row>
    <row r="41" spans="14:29">
      <c r="N41" s="1191" t="s">
        <v>724</v>
      </c>
      <c r="O41" s="1526" t="s">
        <v>729</v>
      </c>
      <c r="P41" s="1526"/>
      <c r="Q41" s="1526"/>
      <c r="R41" s="1526"/>
      <c r="S41" s="1526"/>
      <c r="T41" s="1526"/>
      <c r="U41" s="1526"/>
      <c r="V41" s="1526"/>
      <c r="W41" s="1526"/>
    </row>
  </sheetData>
  <sheetProtection algorithmName="SHA-512" hashValue="jssUGaIRVFUNzdtpN1Nfm2A7Xc2yAAWXIT2tb8K0RBStOML3S2ksH3QIMB/iMbOBJJaacZd6TEPqWzDTQMVdMg==" saltValue="hVV2HmkCmpAZVw5MSTvPG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460</v>
      </c>
    </row>
    <row r="9" spans="2:2">
      <c r="B9" s="484"/>
    </row>
    <row r="10" spans="2:2">
      <c r="B10" s="481"/>
    </row>
    <row r="11" spans="2:2" ht="25.5">
      <c r="B11" s="1323" t="s">
        <v>461</v>
      </c>
    </row>
    <row r="12" spans="2:2">
      <c r="B12" s="1324"/>
    </row>
    <row r="13" spans="2:2" ht="76.5">
      <c r="B13" s="1324" t="s">
        <v>462</v>
      </c>
    </row>
    <row r="14" spans="2:2">
      <c r="B14" s="1324"/>
    </row>
    <row r="15" spans="2:2" ht="51">
      <c r="B15" s="1324" t="s">
        <v>463</v>
      </c>
    </row>
    <row r="16" spans="2:2">
      <c r="B16" s="1324"/>
    </row>
    <row r="17" spans="2:2" ht="51">
      <c r="B17" s="1325" t="s">
        <v>464</v>
      </c>
    </row>
  </sheetData>
  <sheetProtection algorithmName="SHA-512" hashValue="L7htAnJYW/1vqbMBmN8BqmD3aKA21QA/tBEcI4T2V506BGZ3YJPVk1Wz9z6fKt9KfRs9/1CSWImGbmHK0koa1g==" saltValue="rDXvJyu99GgmMJWvgIdL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c r="BO1" s="31"/>
      <c r="BP1" s="30"/>
      <c r="BQ1" s="52"/>
      <c r="BR1" s="31"/>
      <c r="BS1" s="30"/>
      <c r="BT1" s="52"/>
      <c r="BU1" s="31"/>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c r="BO5" s="1465"/>
      <c r="BP5" s="1464"/>
      <c r="BQ5" s="1465"/>
      <c r="BR5" s="1464"/>
      <c r="BS5" s="1465"/>
      <c r="BT5" s="1464"/>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819</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488" t="s">
        <v>818</v>
      </c>
      <c r="ER8" s="488">
        <v>148</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v>5828</v>
      </c>
      <c r="J9" s="186">
        <v>3025</v>
      </c>
      <c r="K9" s="186">
        <v>2591</v>
      </c>
      <c r="L9" s="186">
        <v>6262</v>
      </c>
      <c r="M9" s="186">
        <v>573</v>
      </c>
      <c r="N9" s="186">
        <v>935</v>
      </c>
      <c r="O9" s="186">
        <v>1269</v>
      </c>
      <c r="P9" s="186">
        <v>1095</v>
      </c>
      <c r="Q9" s="186">
        <v>1065</v>
      </c>
      <c r="R9" s="186">
        <v>10516</v>
      </c>
      <c r="S9" s="186">
        <v>4210</v>
      </c>
      <c r="T9" s="186">
        <v>2337</v>
      </c>
      <c r="U9" s="186">
        <v>2015</v>
      </c>
      <c r="V9" s="186">
        <v>4532</v>
      </c>
      <c r="W9" s="186">
        <v>476</v>
      </c>
      <c r="X9" s="193">
        <v>675</v>
      </c>
      <c r="Y9" s="196">
        <v>142</v>
      </c>
      <c r="Z9" s="186">
        <v>154</v>
      </c>
      <c r="AA9" s="186">
        <v>103</v>
      </c>
      <c r="AB9" s="186">
        <v>193</v>
      </c>
      <c r="AC9" s="186">
        <v>0</v>
      </c>
      <c r="AD9" s="186">
        <v>0</v>
      </c>
      <c r="AE9" s="186">
        <v>0</v>
      </c>
      <c r="AF9" s="193">
        <v>0</v>
      </c>
      <c r="AG9" s="196">
        <v>0</v>
      </c>
      <c r="AH9" s="186">
        <v>0</v>
      </c>
      <c r="AI9" s="186">
        <v>0</v>
      </c>
      <c r="AJ9" s="197">
        <v>0</v>
      </c>
      <c r="AK9" s="185">
        <v>0</v>
      </c>
      <c r="AL9" s="186">
        <v>0</v>
      </c>
      <c r="AM9" s="186">
        <v>0</v>
      </c>
      <c r="AN9" s="193">
        <v>0</v>
      </c>
      <c r="AO9" s="263">
        <v>7</v>
      </c>
      <c r="AP9" s="159">
        <v>7</v>
      </c>
      <c r="AQ9" s="159">
        <v>7</v>
      </c>
      <c r="AR9" s="198">
        <v>7</v>
      </c>
      <c r="AS9" s="348" t="s">
        <v>870</v>
      </c>
      <c r="AT9" s="200"/>
      <c r="AU9" s="199"/>
      <c r="AV9" s="200"/>
      <c r="AW9" s="199"/>
      <c r="AX9" s="200"/>
      <c r="AY9" s="125">
        <f>IF(ISNUMBER(IF(J_V="SI",S9,S9+AG9)),IF(J_V="SI",S9,S9+AG9)," - ")</f>
        <v>4210</v>
      </c>
      <c r="AZ9" s="125">
        <f>IF(ISNUMBER(IF(J_V="SI",T9,T9+AH9)),IF(J_V="SI",T9,T9+AH9)," - ")</f>
        <v>2337</v>
      </c>
      <c r="BA9" s="126">
        <f>IF(ISNUMBER(IF(J_V="SI",U9,U9+AI9)),IF(J_V="SI",U9,U9+AI9)," - ")</f>
        <v>2015</v>
      </c>
      <c r="BB9" s="126">
        <f>IF(ISNUMBER(IF(J_V="SI",V9,V9+AJ9)),IF(J_V="SI",V9,V9+AJ9)," - ")</f>
        <v>4532</v>
      </c>
      <c r="BC9" s="127">
        <f>IF(ISNUMBER(X9),X9," - ")</f>
        <v>675</v>
      </c>
      <c r="BD9" s="128">
        <f>IF(ISNUMBER(BA9/AZ9),BA9/AZ9," - ")</f>
        <v>0.86221651690201118</v>
      </c>
      <c r="BE9" s="129">
        <f>IF(ISNUMBER(BB9/BA9),BB9/BA9, " - ")</f>
        <v>2.2491315136476429</v>
      </c>
      <c r="BF9" s="129">
        <f>IF(ISNUMBER(BC9/BA9),BC9/BA9, " - ")</f>
        <v>0.33498759305210918</v>
      </c>
      <c r="BG9" s="201">
        <f>IF(ISNUMBER((AY9+AZ9)/BA9),(AY9+AZ9)/BA9," - ")</f>
        <v>3.2491315136476429</v>
      </c>
      <c r="BH9" s="159">
        <v>6</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964</v>
      </c>
      <c r="EP9" s="1146"/>
      <c r="EQ9" s="1146"/>
      <c r="ER9" s="1150">
        <v>1200</v>
      </c>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v>134</v>
      </c>
      <c r="J10" s="186">
        <v>64</v>
      </c>
      <c r="K10" s="186">
        <v>59</v>
      </c>
      <c r="L10" s="186">
        <v>136</v>
      </c>
      <c r="M10" s="186">
        <v>27</v>
      </c>
      <c r="N10" s="186">
        <v>21</v>
      </c>
      <c r="O10" s="186">
        <v>18</v>
      </c>
      <c r="P10" s="186">
        <v>21</v>
      </c>
      <c r="Q10" s="186">
        <v>30</v>
      </c>
      <c r="R10" s="186">
        <v>146</v>
      </c>
      <c r="S10" s="186">
        <v>145</v>
      </c>
      <c r="T10" s="186">
        <v>67</v>
      </c>
      <c r="U10" s="186">
        <v>82</v>
      </c>
      <c r="V10" s="186">
        <v>131</v>
      </c>
      <c r="W10" s="186">
        <v>30</v>
      </c>
      <c r="X10" s="193">
        <v>32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1</v>
      </c>
      <c r="AQ10" s="159">
        <v>1</v>
      </c>
      <c r="AR10" s="160">
        <v>1</v>
      </c>
      <c r="AS10" s="349" t="s">
        <v>864</v>
      </c>
      <c r="AT10" s="197"/>
      <c r="AU10" s="205"/>
      <c r="AV10" s="197"/>
      <c r="AW10" s="205"/>
      <c r="AX10" s="197"/>
      <c r="AY10" s="130">
        <f t="shared" ref="AY10:BC10" si="0">IF(ISNUMBER(S10),S10," - ")</f>
        <v>145</v>
      </c>
      <c r="AZ10" s="131">
        <f t="shared" si="0"/>
        <v>67</v>
      </c>
      <c r="BA10" s="131">
        <f t="shared" si="0"/>
        <v>82</v>
      </c>
      <c r="BB10" s="131">
        <f t="shared" si="0"/>
        <v>131</v>
      </c>
      <c r="BC10" s="127">
        <f t="shared" si="0"/>
        <v>30</v>
      </c>
      <c r="BD10" s="128">
        <f>IF(ISNUMBER(BA10/AZ10),BA10/AZ10," - ")</f>
        <v>1.2238805970149254</v>
      </c>
      <c r="BE10" s="129">
        <f>IF(ISNUMBER(BB10/BA10),BB10/BA10, " - ")</f>
        <v>1.5975609756097562</v>
      </c>
      <c r="BF10" s="129">
        <f>IF(ISNUMBER(BC10/BA10),BC10/BA10, " - ")</f>
        <v>0.36585365853658536</v>
      </c>
      <c r="BG10" s="201">
        <f>IF(ISNUMBER((AY10+AZ10)/BA10),(AY10+AZ10)/BA10," - ")</f>
        <v>2.5853658536585367</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838</v>
      </c>
      <c r="EP10" s="349"/>
      <c r="EQ10" s="349"/>
      <c r="ER10" s="1151">
        <v>1600</v>
      </c>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v>939</v>
      </c>
      <c r="J11" s="188">
        <v>214</v>
      </c>
      <c r="K11" s="188">
        <v>266</v>
      </c>
      <c r="L11" s="188">
        <v>887</v>
      </c>
      <c r="M11" s="188">
        <v>115</v>
      </c>
      <c r="N11" s="188">
        <v>305</v>
      </c>
      <c r="O11" s="186">
        <v>128</v>
      </c>
      <c r="P11" s="188">
        <v>34</v>
      </c>
      <c r="Q11" s="188">
        <v>58</v>
      </c>
      <c r="R11" s="188">
        <v>701</v>
      </c>
      <c r="S11" s="188">
        <v>1155</v>
      </c>
      <c r="T11" s="188">
        <v>422</v>
      </c>
      <c r="U11" s="188">
        <v>458</v>
      </c>
      <c r="V11" s="188">
        <v>1119</v>
      </c>
      <c r="W11" s="188">
        <v>199</v>
      </c>
      <c r="X11" s="194">
        <v>257</v>
      </c>
      <c r="Y11" s="196">
        <v>164</v>
      </c>
      <c r="Z11" s="186">
        <v>125</v>
      </c>
      <c r="AA11" s="186">
        <v>168</v>
      </c>
      <c r="AB11" s="186">
        <v>121</v>
      </c>
      <c r="AC11" s="188">
        <v>0</v>
      </c>
      <c r="AD11" s="188">
        <v>0</v>
      </c>
      <c r="AE11" s="188">
        <v>0</v>
      </c>
      <c r="AF11" s="194">
        <v>0</v>
      </c>
      <c r="AG11" s="207">
        <v>449</v>
      </c>
      <c r="AH11" s="188">
        <v>242</v>
      </c>
      <c r="AI11" s="188">
        <v>296</v>
      </c>
      <c r="AJ11" s="208">
        <v>395</v>
      </c>
      <c r="AK11" s="187">
        <v>0</v>
      </c>
      <c r="AL11" s="188">
        <v>0</v>
      </c>
      <c r="AM11" s="188">
        <v>0</v>
      </c>
      <c r="AN11" s="194">
        <v>0</v>
      </c>
      <c r="AO11" s="264">
        <v>1</v>
      </c>
      <c r="AP11" s="160">
        <v>1</v>
      </c>
      <c r="AQ11" s="160">
        <v>1</v>
      </c>
      <c r="AR11" s="159">
        <v>1</v>
      </c>
      <c r="AS11" s="350" t="s">
        <v>872</v>
      </c>
      <c r="AT11" s="208"/>
      <c r="AU11" s="207"/>
      <c r="AV11" s="208"/>
      <c r="AW11" s="207"/>
      <c r="AX11" s="208"/>
      <c r="AY11" s="128">
        <f t="shared" ref="AY11:BB12" si="1">IF(ISNUMBER(IF(J_V="SI",S11,S11+AG11)),IF(J_V="SI",S11,S11+AG11)," - ")</f>
        <v>1604</v>
      </c>
      <c r="AZ11" s="129">
        <f t="shared" si="1"/>
        <v>664</v>
      </c>
      <c r="BA11" s="129">
        <f t="shared" si="1"/>
        <v>754</v>
      </c>
      <c r="BB11" s="129">
        <f t="shared" si="1"/>
        <v>1514</v>
      </c>
      <c r="BC11" s="127">
        <f>IF(ISNUMBER(X11),X11," - ")</f>
        <v>257</v>
      </c>
      <c r="BD11" s="128">
        <f t="shared" ref="BD11:BD13" si="2">IF(ISNUMBER(BA11/AZ11),BA11/AZ11," - ")</f>
        <v>1.1355421686746987</v>
      </c>
      <c r="BE11" s="129">
        <f t="shared" ref="BE11:BE13" si="3">IF(ISNUMBER(BB11/BA11),BB11/BA11, " - ")</f>
        <v>2.0079575596816976</v>
      </c>
      <c r="BF11" s="129">
        <f t="shared" ref="BF11:BF13" si="4">IF(ISNUMBER(BC11/BA11),BC11/BA11, " - ")</f>
        <v>0.34084880636604775</v>
      </c>
      <c r="BG11" s="201">
        <f t="shared" ref="BG11:BG13" si="5">IF(ISNUMBER((AY11+AZ11)/BA11),(AY11+AZ11)/BA11," - ")</f>
        <v>3.0079575596816976</v>
      </c>
      <c r="BH11" s="160">
        <v>1</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965</v>
      </c>
      <c r="EP11" s="1147"/>
      <c r="EQ11" s="1147"/>
      <c r="ER11" s="1152">
        <v>1323</v>
      </c>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t="s">
        <v>879</v>
      </c>
      <c r="J12" s="188" t="s">
        <v>871</v>
      </c>
      <c r="K12" s="188" t="s">
        <v>927</v>
      </c>
      <c r="L12" s="188" t="s">
        <v>884</v>
      </c>
      <c r="M12" s="188" t="s">
        <v>547</v>
      </c>
      <c r="N12" s="188" t="s">
        <v>562</v>
      </c>
      <c r="O12" s="186" t="s">
        <v>246</v>
      </c>
      <c r="P12" s="188" t="s">
        <v>40</v>
      </c>
      <c r="Q12" s="188" t="s">
        <v>41</v>
      </c>
      <c r="R12" s="188" t="s">
        <v>94</v>
      </c>
      <c r="S12" s="188"/>
      <c r="T12" s="188"/>
      <c r="U12" s="188"/>
      <c r="V12" s="188"/>
      <c r="W12" s="188"/>
      <c r="X12" s="194"/>
      <c r="Y12" s="196" t="s">
        <v>146</v>
      </c>
      <c r="Z12" s="186" t="s">
        <v>147</v>
      </c>
      <c r="AA12" s="186" t="s">
        <v>148</v>
      </c>
      <c r="AB12" s="186" t="s">
        <v>149</v>
      </c>
      <c r="AC12" s="188"/>
      <c r="AD12" s="188"/>
      <c r="AE12" s="188"/>
      <c r="AF12" s="194"/>
      <c r="AG12" s="207"/>
      <c r="AH12" s="188"/>
      <c r="AI12" s="188"/>
      <c r="AJ12" s="208"/>
      <c r="AK12" s="187"/>
      <c r="AL12" s="188"/>
      <c r="AM12" s="188"/>
      <c r="AN12" s="194"/>
      <c r="AO12" s="264">
        <v>0</v>
      </c>
      <c r="AP12" s="160">
        <v>0</v>
      </c>
      <c r="AQ12" s="160">
        <v>0</v>
      </c>
      <c r="AR12" s="159">
        <v>0</v>
      </c>
      <c r="AS12" s="350" t="s">
        <v>873</v>
      </c>
      <c r="AT12" s="208"/>
      <c r="AU12" s="207"/>
      <c r="AV12" s="208"/>
      <c r="AW12" s="207"/>
      <c r="AX12" s="208"/>
      <c r="AY12" s="128">
        <f t="shared" si="1"/>
        <v>0</v>
      </c>
      <c r="AZ12" s="129">
        <f t="shared" si="1"/>
        <v>0</v>
      </c>
      <c r="BA12" s="129">
        <f t="shared" si="1"/>
        <v>0</v>
      </c>
      <c r="BB12" s="129">
        <f t="shared" si="1"/>
        <v>0</v>
      </c>
      <c r="BC12" s="127" t="str">
        <f>IF(ISNUMBER(X12),X12," - ")</f>
        <v xml:space="preserve"> - </v>
      </c>
      <c r="BD12" s="128" t="str">
        <f t="shared" si="2"/>
        <v xml:space="preserve"> - </v>
      </c>
      <c r="BE12" s="129" t="str">
        <f t="shared" si="3"/>
        <v xml:space="preserve"> - </v>
      </c>
      <c r="BF12" s="129" t="str">
        <f t="shared" si="4"/>
        <v xml:space="preserve"> - </v>
      </c>
      <c r="BG12" s="201" t="str">
        <f t="shared" si="5"/>
        <v xml:space="preserve"> - </v>
      </c>
      <c r="BH12" s="160">
        <v>0</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966</v>
      </c>
      <c r="EP12" s="1148"/>
      <c r="EQ12" s="1148"/>
      <c r="ER12" s="1150">
        <v>680</v>
      </c>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v>0</v>
      </c>
      <c r="J13" s="188">
        <v>0</v>
      </c>
      <c r="K13" s="188">
        <v>0</v>
      </c>
      <c r="L13" s="188">
        <v>0</v>
      </c>
      <c r="M13" s="188">
        <v>0</v>
      </c>
      <c r="N13" s="188">
        <v>0</v>
      </c>
      <c r="O13" s="188">
        <v>0</v>
      </c>
      <c r="P13" s="188">
        <v>0</v>
      </c>
      <c r="Q13" s="188">
        <v>0</v>
      </c>
      <c r="R13" s="188">
        <v>0</v>
      </c>
      <c r="S13" s="188">
        <v>0</v>
      </c>
      <c r="T13" s="188">
        <v>0</v>
      </c>
      <c r="U13" s="188">
        <v>0</v>
      </c>
      <c r="V13" s="188">
        <v>0</v>
      </c>
      <c r="W13" s="188">
        <v>0</v>
      </c>
      <c r="X13" s="194">
        <v>0</v>
      </c>
      <c r="Y13" s="207">
        <v>0</v>
      </c>
      <c r="Z13" s="188">
        <v>0</v>
      </c>
      <c r="AA13" s="188">
        <v>0</v>
      </c>
      <c r="AB13" s="188">
        <v>0</v>
      </c>
      <c r="AC13" s="188">
        <v>0</v>
      </c>
      <c r="AD13" s="188">
        <v>0</v>
      </c>
      <c r="AE13" s="188">
        <v>0</v>
      </c>
      <c r="AF13" s="194">
        <v>0</v>
      </c>
      <c r="AG13" s="207">
        <v>0</v>
      </c>
      <c r="AH13" s="188">
        <v>0</v>
      </c>
      <c r="AI13" s="188">
        <v>0</v>
      </c>
      <c r="AJ13" s="208">
        <v>0</v>
      </c>
      <c r="AK13" s="187">
        <v>0</v>
      </c>
      <c r="AL13" s="188">
        <v>0</v>
      </c>
      <c r="AM13" s="188">
        <v>0</v>
      </c>
      <c r="AN13" s="194">
        <v>0</v>
      </c>
      <c r="AO13" s="264">
        <v>1</v>
      </c>
      <c r="AP13" s="160">
        <v>1</v>
      </c>
      <c r="AQ13" s="160">
        <v>1</v>
      </c>
      <c r="AR13" s="160">
        <v>1</v>
      </c>
      <c r="AS13" s="350" t="str">
        <f>IF( Año&lt;2006,"TCIVI251","")</f>
        <v/>
      </c>
      <c r="AT13" s="208"/>
      <c r="AU13" s="207"/>
      <c r="AV13" s="208"/>
      <c r="AW13" s="207"/>
      <c r="AX13" s="208"/>
      <c r="AY13" s="130">
        <f t="shared" ref="AY13:BC13" si="6">IF(ISNUMBER(S13),S13," - ")</f>
        <v>0</v>
      </c>
      <c r="AZ13" s="131">
        <f t="shared" si="6"/>
        <v>0</v>
      </c>
      <c r="BA13" s="131">
        <f t="shared" si="6"/>
        <v>0</v>
      </c>
      <c r="BB13" s="131">
        <f t="shared" si="6"/>
        <v>0</v>
      </c>
      <c r="BC13" s="127">
        <f t="shared" si="6"/>
        <v>0</v>
      </c>
      <c r="BD13" s="128" t="str">
        <f t="shared" si="2"/>
        <v xml:space="preserve"> - </v>
      </c>
      <c r="BE13" s="129" t="str">
        <f t="shared" si="3"/>
        <v xml:space="preserve"> - </v>
      </c>
      <c r="BF13" s="129" t="str">
        <f t="shared" si="4"/>
        <v xml:space="preserve"> - </v>
      </c>
      <c r="BG13" s="201" t="str">
        <f t="shared" si="5"/>
        <v xml:space="preserve"> - </v>
      </c>
      <c r="BH13" s="160">
        <v>1</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7">SUBTOTAL(9,I8:I13)</f>
        <v>6901</v>
      </c>
      <c r="J14" s="189">
        <f t="shared" si="7"/>
        <v>3303</v>
      </c>
      <c r="K14" s="189">
        <f t="shared" si="7"/>
        <v>2916</v>
      </c>
      <c r="L14" s="189">
        <f t="shared" si="7"/>
        <v>7285</v>
      </c>
      <c r="M14" s="189">
        <f t="shared" si="7"/>
        <v>715</v>
      </c>
      <c r="N14" s="189">
        <f t="shared" si="7"/>
        <v>1261</v>
      </c>
      <c r="O14" s="189">
        <f t="shared" si="7"/>
        <v>1415</v>
      </c>
      <c r="P14" s="189">
        <f t="shared" si="7"/>
        <v>1150</v>
      </c>
      <c r="Q14" s="189">
        <f t="shared" si="7"/>
        <v>1153</v>
      </c>
      <c r="R14" s="189">
        <f t="shared" si="7"/>
        <v>11363</v>
      </c>
      <c r="S14" s="189">
        <f t="shared" si="7"/>
        <v>5510</v>
      </c>
      <c r="T14" s="189">
        <f t="shared" si="7"/>
        <v>2826</v>
      </c>
      <c r="U14" s="189">
        <f t="shared" si="7"/>
        <v>2555</v>
      </c>
      <c r="V14" s="189">
        <f t="shared" si="7"/>
        <v>5782</v>
      </c>
      <c r="W14" s="189">
        <f t="shared" si="7"/>
        <v>705</v>
      </c>
      <c r="X14" s="189">
        <f t="shared" si="7"/>
        <v>964</v>
      </c>
      <c r="Y14" s="189">
        <f t="shared" si="7"/>
        <v>306</v>
      </c>
      <c r="Z14" s="189">
        <f t="shared" si="7"/>
        <v>279</v>
      </c>
      <c r="AA14" s="189">
        <f t="shared" si="7"/>
        <v>271</v>
      </c>
      <c r="AB14" s="189">
        <f t="shared" si="7"/>
        <v>314</v>
      </c>
      <c r="AC14" s="189">
        <f t="shared" si="7"/>
        <v>0</v>
      </c>
      <c r="AD14" s="189">
        <f t="shared" si="7"/>
        <v>0</v>
      </c>
      <c r="AE14" s="189">
        <f t="shared" si="7"/>
        <v>0</v>
      </c>
      <c r="AF14" s="189">
        <f>SUBTOTAL(9,AF9:AF13)</f>
        <v>0</v>
      </c>
      <c r="AG14" s="189">
        <f t="shared" ref="AG14:AT14" si="8">SUBTOTAL(9,AG8:AG13)</f>
        <v>449</v>
      </c>
      <c r="AH14" s="189">
        <f t="shared" si="8"/>
        <v>242</v>
      </c>
      <c r="AI14" s="189">
        <f t="shared" si="8"/>
        <v>296</v>
      </c>
      <c r="AJ14" s="189">
        <f t="shared" si="8"/>
        <v>395</v>
      </c>
      <c r="AK14" s="189">
        <f t="shared" si="8"/>
        <v>0</v>
      </c>
      <c r="AL14" s="189">
        <f t="shared" si="8"/>
        <v>0</v>
      </c>
      <c r="AM14" s="189">
        <f t="shared" si="8"/>
        <v>0</v>
      </c>
      <c r="AN14" s="189">
        <f t="shared" si="8"/>
        <v>0</v>
      </c>
      <c r="AO14" s="189">
        <f t="shared" si="8"/>
        <v>10</v>
      </c>
      <c r="AP14" s="189">
        <f t="shared" si="8"/>
        <v>10</v>
      </c>
      <c r="AQ14" s="189">
        <f t="shared" si="8"/>
        <v>10</v>
      </c>
      <c r="AR14" s="189">
        <f t="shared" si="8"/>
        <v>10</v>
      </c>
      <c r="AS14" s="189">
        <f t="shared" si="8"/>
        <v>0</v>
      </c>
      <c r="AT14" s="189">
        <f t="shared" si="8"/>
        <v>0</v>
      </c>
      <c r="AU14" s="209"/>
      <c r="AV14" s="134"/>
      <c r="AW14" s="209"/>
      <c r="AX14" s="134"/>
      <c r="AY14" s="189">
        <f>SUBTOTAL(9,AY8:AY13)</f>
        <v>5959</v>
      </c>
      <c r="AZ14" s="189">
        <f>SUBTOTAL(9,AZ8:AZ13)</f>
        <v>3068</v>
      </c>
      <c r="BA14" s="189">
        <f>SUBTOTAL(9,BA8:BA13)</f>
        <v>2851</v>
      </c>
      <c r="BB14" s="189">
        <f>SUBTOTAL(9,BB8:BB13)</f>
        <v>6177</v>
      </c>
      <c r="BC14" s="189">
        <f>SUBTOTAL(9,BC8:BC13)</f>
        <v>962</v>
      </c>
      <c r="BD14" s="210">
        <f>IF(ISNUMBER(BA14/AZ14),BA14/AZ14," - ")</f>
        <v>0.92926988265971322</v>
      </c>
      <c r="BE14" s="211">
        <f>IF(ISNUMBER(BB14/BA14),BB14/BA14, " - ")</f>
        <v>2.1666082076464397</v>
      </c>
      <c r="BF14" s="211">
        <f>IF(ISNUMBER(BC14/BA14),BC14/BA14, " - ")</f>
        <v>0.33742546474921081</v>
      </c>
      <c r="BG14" s="212">
        <f>IF(ISNUMBER((AY14+AZ14)/BA14),(AY14+AZ14)/BA14," - ")</f>
        <v>3.1662574535250787</v>
      </c>
      <c r="BH14" s="145">
        <f>SUBTOTAL(9,BH8:BH13)</f>
        <v>9</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v>1832</v>
      </c>
      <c r="J16" s="188">
        <v>2235</v>
      </c>
      <c r="K16" s="188">
        <v>1923</v>
      </c>
      <c r="L16" s="188">
        <v>2157</v>
      </c>
      <c r="M16" s="188">
        <v>365</v>
      </c>
      <c r="N16" s="188">
        <v>1000</v>
      </c>
      <c r="O16" s="186">
        <v>84</v>
      </c>
      <c r="P16" s="188">
        <v>140</v>
      </c>
      <c r="Q16" s="188">
        <v>154</v>
      </c>
      <c r="R16" s="188">
        <v>417</v>
      </c>
      <c r="S16" s="188">
        <v>1758</v>
      </c>
      <c r="T16" s="188">
        <v>2439</v>
      </c>
      <c r="U16" s="188">
        <v>2477</v>
      </c>
      <c r="V16" s="188">
        <v>1756</v>
      </c>
      <c r="W16" s="188">
        <v>459</v>
      </c>
      <c r="X16" s="194">
        <v>1236</v>
      </c>
      <c r="Y16" s="207">
        <v>0</v>
      </c>
      <c r="Z16" s="188">
        <v>0</v>
      </c>
      <c r="AA16" s="188">
        <v>0</v>
      </c>
      <c r="AB16" s="188">
        <v>0</v>
      </c>
      <c r="AC16" s="188">
        <v>15</v>
      </c>
      <c r="AD16" s="188">
        <v>9</v>
      </c>
      <c r="AE16" s="188">
        <v>11</v>
      </c>
      <c r="AF16" s="194">
        <v>13</v>
      </c>
      <c r="AG16" s="207">
        <v>0</v>
      </c>
      <c r="AH16" s="188">
        <v>0</v>
      </c>
      <c r="AI16" s="188">
        <v>0</v>
      </c>
      <c r="AJ16" s="208">
        <v>0</v>
      </c>
      <c r="AK16" s="187">
        <v>9</v>
      </c>
      <c r="AL16" s="188">
        <v>48</v>
      </c>
      <c r="AM16" s="188">
        <v>46</v>
      </c>
      <c r="AN16" s="194">
        <v>11</v>
      </c>
      <c r="AO16" s="264">
        <v>5</v>
      </c>
      <c r="AP16" s="160">
        <v>5</v>
      </c>
      <c r="AQ16" s="160">
        <v>5</v>
      </c>
      <c r="AR16" s="160">
        <v>5</v>
      </c>
      <c r="AS16" s="350" t="s">
        <v>587</v>
      </c>
      <c r="AT16" s="208" t="s">
        <v>359</v>
      </c>
      <c r="AU16" s="207"/>
      <c r="AV16" s="208"/>
      <c r="AW16" s="207"/>
      <c r="AX16" s="208"/>
      <c r="AY16" s="130">
        <f t="shared" ref="AY16:BB17" si="10">IF(ISNUMBER(IF(D_I="SI",S16,S16+AK16)),IF(D_I="SI",S16,S16+AK16)," - ")</f>
        <v>1758</v>
      </c>
      <c r="AZ16" s="131">
        <f t="shared" si="10"/>
        <v>2439</v>
      </c>
      <c r="BA16" s="131">
        <f t="shared" si="10"/>
        <v>2477</v>
      </c>
      <c r="BB16" s="131">
        <f t="shared" si="10"/>
        <v>1756</v>
      </c>
      <c r="BC16" s="127">
        <f>IF(ISNUMBER(W16),W16," - ")</f>
        <v>459</v>
      </c>
      <c r="BD16" s="128">
        <f>IF(ISNUMBER(BA16/AZ16),BA16/AZ16," - ")</f>
        <v>1.015580155801558</v>
      </c>
      <c r="BE16" s="129">
        <f>IF(ISNUMBER(BB16/BA16),BB16/BA16, " - ")</f>
        <v>0.70892208316511907</v>
      </c>
      <c r="BF16" s="129">
        <f>IF(ISNUMBER(BC16/BA16),BC16/BA16, " - ")</f>
        <v>0.18530480419862738</v>
      </c>
      <c r="BG16" s="201">
        <f t="shared" ref="BG16:BG19" si="11">IF(ISNUMBER((AY16+AZ16)/BA16),(AY16+AZ16)/BA16," - ")</f>
        <v>1.6943883730318934</v>
      </c>
      <c r="BH16" s="160">
        <v>5</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874</v>
      </c>
      <c r="EP16" s="1147"/>
      <c r="EQ16" s="1147"/>
      <c r="ER16" s="1152">
        <v>3300</v>
      </c>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t="s">
        <v>545</v>
      </c>
      <c r="J17" s="188" t="s">
        <v>541</v>
      </c>
      <c r="K17" s="188" t="s">
        <v>542</v>
      </c>
      <c r="L17" s="188" t="s">
        <v>543</v>
      </c>
      <c r="M17" s="188" t="s">
        <v>548</v>
      </c>
      <c r="N17" s="188" t="s">
        <v>167</v>
      </c>
      <c r="O17" s="186" t="s">
        <v>247</v>
      </c>
      <c r="P17" s="188" t="s">
        <v>527</v>
      </c>
      <c r="Q17" s="188" t="s">
        <v>528</v>
      </c>
      <c r="R17" s="188" t="s">
        <v>529</v>
      </c>
      <c r="S17" s="188"/>
      <c r="T17" s="188"/>
      <c r="U17" s="188"/>
      <c r="V17" s="188"/>
      <c r="W17" s="188"/>
      <c r="X17" s="194"/>
      <c r="Y17" s="207"/>
      <c r="Z17" s="188"/>
      <c r="AA17" s="188"/>
      <c r="AB17" s="188"/>
      <c r="AC17" s="188" t="s">
        <v>46</v>
      </c>
      <c r="AD17" s="188" t="s">
        <v>51</v>
      </c>
      <c r="AE17" s="188" t="s">
        <v>52</v>
      </c>
      <c r="AF17" s="194" t="s">
        <v>53</v>
      </c>
      <c r="AG17" s="207"/>
      <c r="AH17" s="188"/>
      <c r="AI17" s="188"/>
      <c r="AJ17" s="208"/>
      <c r="AK17" s="187"/>
      <c r="AL17" s="188"/>
      <c r="AM17" s="188"/>
      <c r="AN17" s="194"/>
      <c r="AO17" s="264">
        <v>0</v>
      </c>
      <c r="AP17" s="160">
        <v>0</v>
      </c>
      <c r="AQ17" s="160">
        <v>0</v>
      </c>
      <c r="AR17" s="160">
        <v>0</v>
      </c>
      <c r="AS17" s="350" t="s">
        <v>544</v>
      </c>
      <c r="AT17" s="208"/>
      <c r="AU17" s="207"/>
      <c r="AV17" s="208"/>
      <c r="AW17" s="207"/>
      <c r="AX17" s="208"/>
      <c r="AY17" s="128" t="str">
        <f t="shared" si="10"/>
        <v xml:space="preserve"> - </v>
      </c>
      <c r="AZ17" s="129" t="str">
        <f t="shared" si="10"/>
        <v xml:space="preserve"> - </v>
      </c>
      <c r="BA17" s="129" t="str">
        <f t="shared" si="10"/>
        <v xml:space="preserve"> - </v>
      </c>
      <c r="BB17" s="129" t="str">
        <f t="shared" si="10"/>
        <v xml:space="preserve"> - </v>
      </c>
      <c r="BC17" s="127" t="str">
        <f>IF(ISNUMBER(W17),W17," - ")</f>
        <v xml:space="preserve"> - </v>
      </c>
      <c r="BD17" s="128" t="str">
        <f t="shared" ref="BD17:BD19" si="12">IF(ISNUMBER(BA17/AZ17),BA17/AZ17," - ")</f>
        <v xml:space="preserve"> - </v>
      </c>
      <c r="BE17" s="129" t="str">
        <f t="shared" ref="BE17:BE19" si="13">IF(ISNUMBER(BB17/BA17),BB17/BA17, " - ")</f>
        <v xml:space="preserve"> - </v>
      </c>
      <c r="BF17" s="129" t="str">
        <f t="shared" ref="BF17:BF19" si="14">IF(ISNUMBER(BC17/BA17),BC17/BA17, " - ")</f>
        <v xml:space="preserve"> - </v>
      </c>
      <c r="BG17" s="201" t="str">
        <f t="shared" si="11"/>
        <v xml:space="preserve"> - </v>
      </c>
      <c r="BH17" s="160">
        <v>0</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844</v>
      </c>
      <c r="EP17" s="1147"/>
      <c r="EQ17" s="1147"/>
      <c r="ER17" s="1152">
        <v>1000</v>
      </c>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v>276</v>
      </c>
      <c r="J18" s="188">
        <v>352</v>
      </c>
      <c r="K18" s="188">
        <v>346</v>
      </c>
      <c r="L18" s="188">
        <v>282</v>
      </c>
      <c r="M18" s="188">
        <v>18</v>
      </c>
      <c r="N18" s="188">
        <v>194</v>
      </c>
      <c r="O18" s="188">
        <v>3</v>
      </c>
      <c r="P18" s="188">
        <v>1</v>
      </c>
      <c r="Q18" s="188">
        <v>3</v>
      </c>
      <c r="R18" s="188">
        <v>8</v>
      </c>
      <c r="S18" s="188">
        <v>337</v>
      </c>
      <c r="T18" s="188">
        <v>339</v>
      </c>
      <c r="U18" s="188">
        <v>407</v>
      </c>
      <c r="V18" s="188">
        <v>269</v>
      </c>
      <c r="W18" s="188">
        <v>25</v>
      </c>
      <c r="X18" s="194">
        <v>194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1</v>
      </c>
      <c r="AQ18" s="159">
        <v>1</v>
      </c>
      <c r="AR18" s="160">
        <v>1</v>
      </c>
      <c r="AS18" s="349" t="s">
        <v>863</v>
      </c>
      <c r="AT18" s="214"/>
      <c r="AU18" s="205"/>
      <c r="AV18" s="214"/>
      <c r="AW18" s="205"/>
      <c r="AX18" s="214"/>
      <c r="AY18" s="130">
        <f t="shared" ref="AY18:BB19" si="15">IF(ISNUMBER(S18),S18," - ")</f>
        <v>337</v>
      </c>
      <c r="AZ18" s="131">
        <f t="shared" si="15"/>
        <v>339</v>
      </c>
      <c r="BA18" s="131">
        <f t="shared" si="15"/>
        <v>407</v>
      </c>
      <c r="BB18" s="131">
        <f t="shared" si="15"/>
        <v>269</v>
      </c>
      <c r="BC18" s="127">
        <f>IF(ISNUMBER(W18),W18," - ")</f>
        <v>25</v>
      </c>
      <c r="BD18" s="128">
        <f>IF(ISNUMBER(BA18/AZ18),BA18/AZ18," - ")</f>
        <v>1.2005899705014749</v>
      </c>
      <c r="BE18" s="129">
        <f>IF(ISNUMBER(BB18/BA18),BB18/BA18, " - ")</f>
        <v>0.6609336609336609</v>
      </c>
      <c r="BF18" s="129">
        <f>IF(ISNUMBER(BC18/BA18),BC18/BA18, " - ")</f>
        <v>6.1425061425061427E-2</v>
      </c>
      <c r="BG18" s="201">
        <f>IF(ISNUMBER((AY18+AZ18)/BA18),(AY18+AZ18)/BA18," - ")</f>
        <v>1.6609336609336609</v>
      </c>
      <c r="BH18" s="160">
        <v>1</v>
      </c>
      <c r="BI18" s="160"/>
      <c r="BJ18" s="205"/>
      <c r="BK18" s="159"/>
      <c r="BL18" s="159"/>
      <c r="BM18" s="159">
        <v>1800</v>
      </c>
      <c r="BN18" s="159"/>
      <c r="BO18" s="159"/>
      <c r="BP18" s="159"/>
      <c r="BQ18" s="159"/>
      <c r="BR18" s="159"/>
      <c r="BS18" s="159"/>
      <c r="BT18" s="159"/>
      <c r="BU18" s="159"/>
      <c r="BV18" s="159"/>
      <c r="BW18" s="159"/>
      <c r="BX18" s="159"/>
      <c r="BY18" s="179" t="s">
        <v>795</v>
      </c>
      <c r="BZ18" s="179" t="s">
        <v>796</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845</v>
      </c>
      <c r="EP18" s="349"/>
      <c r="EQ18" s="349"/>
      <c r="ER18" s="1151">
        <v>1600</v>
      </c>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v>110</v>
      </c>
      <c r="J19" s="188">
        <v>61</v>
      </c>
      <c r="K19" s="188">
        <v>82</v>
      </c>
      <c r="L19" s="188">
        <v>89</v>
      </c>
      <c r="M19" s="188">
        <v>63</v>
      </c>
      <c r="N19" s="188">
        <v>19</v>
      </c>
      <c r="O19" s="188">
        <v>9</v>
      </c>
      <c r="P19" s="188">
        <v>63</v>
      </c>
      <c r="Q19" s="188">
        <v>67</v>
      </c>
      <c r="R19" s="188">
        <v>148</v>
      </c>
      <c r="S19" s="188">
        <v>81</v>
      </c>
      <c r="T19" s="188">
        <v>77</v>
      </c>
      <c r="U19" s="188">
        <v>83</v>
      </c>
      <c r="V19" s="188">
        <v>76</v>
      </c>
      <c r="W19" s="188">
        <v>62</v>
      </c>
      <c r="X19" s="194">
        <v>21</v>
      </c>
      <c r="Y19" s="207">
        <v>0</v>
      </c>
      <c r="Z19" s="188">
        <v>0</v>
      </c>
      <c r="AA19" s="188">
        <v>0</v>
      </c>
      <c r="AB19" s="188">
        <v>0</v>
      </c>
      <c r="AC19" s="188">
        <v>0</v>
      </c>
      <c r="AD19" s="188">
        <v>0</v>
      </c>
      <c r="AE19" s="188">
        <v>0</v>
      </c>
      <c r="AF19" s="194">
        <v>0</v>
      </c>
      <c r="AG19" s="207">
        <v>0</v>
      </c>
      <c r="AH19" s="188">
        <v>0</v>
      </c>
      <c r="AI19" s="188">
        <v>0</v>
      </c>
      <c r="AJ19" s="208">
        <v>0</v>
      </c>
      <c r="AK19" s="187">
        <v>0</v>
      </c>
      <c r="AL19" s="188">
        <v>0</v>
      </c>
      <c r="AM19" s="188">
        <v>0</v>
      </c>
      <c r="AN19" s="194">
        <v>0</v>
      </c>
      <c r="AO19" s="264">
        <v>1</v>
      </c>
      <c r="AP19" s="160">
        <v>1</v>
      </c>
      <c r="AQ19" s="160">
        <v>1</v>
      </c>
      <c r="AR19" s="160">
        <v>1</v>
      </c>
      <c r="AS19" s="350" t="s">
        <v>365</v>
      </c>
      <c r="AT19" s="208"/>
      <c r="AU19" s="207"/>
      <c r="AV19" s="208"/>
      <c r="AW19" s="207"/>
      <c r="AX19" s="208"/>
      <c r="AY19" s="130">
        <f t="shared" si="15"/>
        <v>81</v>
      </c>
      <c r="AZ19" s="131">
        <f t="shared" si="15"/>
        <v>77</v>
      </c>
      <c r="BA19" s="131">
        <f t="shared" si="15"/>
        <v>83</v>
      </c>
      <c r="BB19" s="131">
        <f t="shared" si="15"/>
        <v>76</v>
      </c>
      <c r="BC19" s="127">
        <f>IF(ISNUMBER(W19),W19," - ")</f>
        <v>62</v>
      </c>
      <c r="BD19" s="128">
        <f t="shared" si="12"/>
        <v>1.0779220779220779</v>
      </c>
      <c r="BE19" s="129">
        <f t="shared" si="13"/>
        <v>0.91566265060240959</v>
      </c>
      <c r="BF19" s="129">
        <f t="shared" si="14"/>
        <v>0.74698795180722888</v>
      </c>
      <c r="BG19" s="201">
        <f t="shared" si="11"/>
        <v>1.9036144578313252</v>
      </c>
      <c r="BH19" s="160">
        <v>1</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826</v>
      </c>
      <c r="EP19" s="1147"/>
      <c r="EQ19" s="1147"/>
      <c r="ER19" s="1152">
        <v>875</v>
      </c>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16">SUBTOTAL(9,I15:I19)</f>
        <v>2218</v>
      </c>
      <c r="J20" s="189">
        <f t="shared" si="16"/>
        <v>2648</v>
      </c>
      <c r="K20" s="189">
        <f t="shared" si="16"/>
        <v>2351</v>
      </c>
      <c r="L20" s="189">
        <f t="shared" si="16"/>
        <v>2528</v>
      </c>
      <c r="M20" s="189">
        <f t="shared" si="16"/>
        <v>446</v>
      </c>
      <c r="N20" s="189">
        <f t="shared" si="16"/>
        <v>1213</v>
      </c>
      <c r="O20" s="189">
        <f t="shared" si="16"/>
        <v>96</v>
      </c>
      <c r="P20" s="189">
        <f t="shared" si="16"/>
        <v>204</v>
      </c>
      <c r="Q20" s="189">
        <f t="shared" si="16"/>
        <v>224</v>
      </c>
      <c r="R20" s="189">
        <f t="shared" si="16"/>
        <v>573</v>
      </c>
      <c r="S20" s="189">
        <f t="shared" si="16"/>
        <v>2176</v>
      </c>
      <c r="T20" s="189">
        <f t="shared" si="16"/>
        <v>2855</v>
      </c>
      <c r="U20" s="189">
        <f t="shared" si="16"/>
        <v>2967</v>
      </c>
      <c r="V20" s="189">
        <f t="shared" si="16"/>
        <v>2101</v>
      </c>
      <c r="W20" s="189">
        <f t="shared" si="16"/>
        <v>546</v>
      </c>
      <c r="X20" s="189">
        <f t="shared" si="16"/>
        <v>1451</v>
      </c>
      <c r="Y20" s="189">
        <f t="shared" si="16"/>
        <v>0</v>
      </c>
      <c r="Z20" s="189">
        <f t="shared" si="16"/>
        <v>0</v>
      </c>
      <c r="AA20" s="189">
        <f t="shared" si="16"/>
        <v>0</v>
      </c>
      <c r="AB20" s="189">
        <f t="shared" si="16"/>
        <v>0</v>
      </c>
      <c r="AC20" s="189">
        <f t="shared" si="16"/>
        <v>15</v>
      </c>
      <c r="AD20" s="189">
        <f t="shared" si="16"/>
        <v>9</v>
      </c>
      <c r="AE20" s="189">
        <f t="shared" si="16"/>
        <v>11</v>
      </c>
      <c r="AF20" s="189">
        <f t="shared" si="16"/>
        <v>13</v>
      </c>
      <c r="AG20" s="189">
        <f t="shared" si="16"/>
        <v>0</v>
      </c>
      <c r="AH20" s="189">
        <f t="shared" si="16"/>
        <v>0</v>
      </c>
      <c r="AI20" s="189">
        <f t="shared" si="16"/>
        <v>0</v>
      </c>
      <c r="AJ20" s="189">
        <f t="shared" si="16"/>
        <v>0</v>
      </c>
      <c r="AK20" s="189">
        <f t="shared" si="16"/>
        <v>9</v>
      </c>
      <c r="AL20" s="189">
        <f t="shared" si="16"/>
        <v>48</v>
      </c>
      <c r="AM20" s="189">
        <f t="shared" si="16"/>
        <v>46</v>
      </c>
      <c r="AN20" s="189">
        <f t="shared" si="16"/>
        <v>11</v>
      </c>
      <c r="AO20" s="189">
        <f t="shared" si="16"/>
        <v>7</v>
      </c>
      <c r="AP20" s="189">
        <f t="shared" si="16"/>
        <v>7</v>
      </c>
      <c r="AQ20" s="189">
        <f t="shared" si="16"/>
        <v>7</v>
      </c>
      <c r="AR20" s="189">
        <f t="shared" si="16"/>
        <v>7</v>
      </c>
      <c r="AS20" s="189">
        <f t="shared" si="16"/>
        <v>0</v>
      </c>
      <c r="AT20" s="189">
        <f t="shared" si="16"/>
        <v>0</v>
      </c>
      <c r="AU20" s="209"/>
      <c r="AV20" s="134"/>
      <c r="AW20" s="209"/>
      <c r="AX20" s="134"/>
      <c r="AY20" s="189">
        <f>SUBTOTAL(9,AY15:AY19)</f>
        <v>2176</v>
      </c>
      <c r="AZ20" s="189">
        <f>SUBTOTAL(9,AZ15:AZ19)</f>
        <v>2855</v>
      </c>
      <c r="BA20" s="189">
        <f>SUBTOTAL(9,BA15:BA19)</f>
        <v>2967</v>
      </c>
      <c r="BB20" s="189">
        <f>SUBTOTAL(9,BB15:BB19)</f>
        <v>2101</v>
      </c>
      <c r="BC20" s="189">
        <f>SUBTOTAL(9,BC15:BC19)</f>
        <v>546</v>
      </c>
      <c r="BD20" s="210">
        <f>IF(ISNUMBER(BA20/AZ20),BA20/AZ20," - ")</f>
        <v>1.0392294220665499</v>
      </c>
      <c r="BE20" s="211">
        <f>IF(ISNUMBER(BB20/BA20),BB20/BA20, " - ")</f>
        <v>0.70812268284462421</v>
      </c>
      <c r="BF20" s="211">
        <f>IF(ISNUMBER(BC20/BA20),BC20/BA20, " - ")</f>
        <v>0.18402426693629928</v>
      </c>
      <c r="BG20" s="212">
        <f>IF(ISNUMBER((AY20+AZ20)/BA20),(AY20+AZ20)/BA20," - ")</f>
        <v>1.6956521739130435</v>
      </c>
      <c r="BH20" s="189">
        <f>SUBTOTAL(9,BH15:BH19)</f>
        <v>7</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9119</v>
      </c>
      <c r="J21" s="136">
        <f t="shared" si="19"/>
        <v>5951</v>
      </c>
      <c r="K21" s="136">
        <f t="shared" si="19"/>
        <v>5267</v>
      </c>
      <c r="L21" s="136">
        <f t="shared" si="19"/>
        <v>9813</v>
      </c>
      <c r="M21" s="136">
        <f t="shared" si="19"/>
        <v>1161</v>
      </c>
      <c r="N21" s="136">
        <f t="shared" si="19"/>
        <v>2474</v>
      </c>
      <c r="O21" s="136">
        <f t="shared" si="19"/>
        <v>1511</v>
      </c>
      <c r="P21" s="136">
        <f t="shared" si="19"/>
        <v>1354</v>
      </c>
      <c r="Q21" s="136">
        <f t="shared" si="19"/>
        <v>1377</v>
      </c>
      <c r="R21" s="136">
        <f t="shared" si="19"/>
        <v>11936</v>
      </c>
      <c r="S21" s="136">
        <f t="shared" si="19"/>
        <v>7686</v>
      </c>
      <c r="T21" s="136">
        <f t="shared" si="19"/>
        <v>5681</v>
      </c>
      <c r="U21" s="136">
        <f t="shared" si="19"/>
        <v>5522</v>
      </c>
      <c r="V21" s="136">
        <f t="shared" si="19"/>
        <v>7883</v>
      </c>
      <c r="W21" s="136">
        <f t="shared" si="19"/>
        <v>1251</v>
      </c>
      <c r="X21" s="136">
        <f t="shared" si="19"/>
        <v>2415</v>
      </c>
      <c r="Y21" s="136">
        <f t="shared" si="19"/>
        <v>306</v>
      </c>
      <c r="Z21" s="136">
        <f t="shared" si="19"/>
        <v>279</v>
      </c>
      <c r="AA21" s="136">
        <f t="shared" si="19"/>
        <v>271</v>
      </c>
      <c r="AB21" s="136">
        <f t="shared" si="19"/>
        <v>314</v>
      </c>
      <c r="AC21" s="136">
        <f t="shared" si="19"/>
        <v>15</v>
      </c>
      <c r="AD21" s="136">
        <f t="shared" si="19"/>
        <v>9</v>
      </c>
      <c r="AE21" s="136">
        <f t="shared" si="19"/>
        <v>11</v>
      </c>
      <c r="AF21" s="136">
        <f t="shared" si="19"/>
        <v>13</v>
      </c>
      <c r="AG21" s="136">
        <f t="shared" si="19"/>
        <v>449</v>
      </c>
      <c r="AH21" s="136">
        <f t="shared" si="19"/>
        <v>242</v>
      </c>
      <c r="AI21" s="136">
        <f t="shared" si="19"/>
        <v>296</v>
      </c>
      <c r="AJ21" s="136">
        <f t="shared" si="19"/>
        <v>395</v>
      </c>
      <c r="AK21" s="136">
        <f t="shared" si="19"/>
        <v>9</v>
      </c>
      <c r="AL21" s="136">
        <f t="shared" si="19"/>
        <v>48</v>
      </c>
      <c r="AM21" s="136">
        <f t="shared" si="19"/>
        <v>46</v>
      </c>
      <c r="AN21" s="215">
        <f t="shared" si="19"/>
        <v>11</v>
      </c>
      <c r="AO21" s="216">
        <v>15</v>
      </c>
      <c r="AP21" s="216">
        <v>15</v>
      </c>
      <c r="AQ21" s="216">
        <v>15</v>
      </c>
      <c r="AR21" s="216">
        <v>15</v>
      </c>
      <c r="AS21" s="158">
        <f t="shared" si="19"/>
        <v>0</v>
      </c>
      <c r="AT21" s="158">
        <f t="shared" si="19"/>
        <v>0</v>
      </c>
      <c r="AU21" s="216"/>
      <c r="AV21" s="217"/>
      <c r="AW21" s="216"/>
      <c r="AX21" s="217"/>
      <c r="AY21" s="135">
        <f>SUBTOTAL(9,AY9:AY20)</f>
        <v>8135</v>
      </c>
      <c r="AZ21" s="136">
        <f>SUBTOTAL(9,AZ9:AZ20)</f>
        <v>5923</v>
      </c>
      <c r="BA21" s="136">
        <f>SUBTOTAL(9,BA9:BA20)</f>
        <v>5818</v>
      </c>
      <c r="BB21" s="136">
        <f>SUBTOTAL(9,BB9:BB20)</f>
        <v>8278</v>
      </c>
      <c r="BC21" s="137">
        <f>SUBTOTAL(9,BC9:BC20)</f>
        <v>1508</v>
      </c>
      <c r="BD21" s="218">
        <f>IF(ISNUMBER(BA21/AZ21),BA21/AZ21," - ")</f>
        <v>0.98227249704541619</v>
      </c>
      <c r="BE21" s="215">
        <f>IF(ISNUMBER(BB21/BA21),BB21/BA21, " - ")</f>
        <v>1.4228257133035407</v>
      </c>
      <c r="BF21" s="215">
        <f>IF(ISNUMBER(BC21/BA21),BC21/BA21, " - ")</f>
        <v>0.25919559986249568</v>
      </c>
      <c r="BG21" s="137">
        <f>IF(ISNUMBER((AY21+AZ21)/BA21),(AY21+AZ21)/BA21," - ")</f>
        <v>2.4162942591955998</v>
      </c>
      <c r="BH21" s="216">
        <f>SUBTOTAL(9,BH9:BH20)</f>
        <v>16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E/gm0rBSvDvnKKSkURGHbEkE9+zShohKszgSEuLF971LhOaw91mjPvKyLqAmHTaWhCd2nckAIR9+UjLoOY4Kmg==" saltValue="RsOWfkRfGpQ6lqQ5CkhW+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449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427</v>
      </c>
      <c r="BN5" s="1464"/>
      <c r="BO5" s="1465"/>
      <c r="BP5" s="1464"/>
      <c r="BQ5" s="1465"/>
      <c r="BR5" s="1464"/>
      <c r="BS5" s="1465"/>
      <c r="BT5" s="1464"/>
      <c r="BU5" s="1465"/>
      <c r="BV5" s="1617" t="s">
        <v>298</v>
      </c>
      <c r="BW5" s="1654" t="s">
        <v>278</v>
      </c>
      <c r="BX5" s="1654"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507</v>
      </c>
      <c r="CL5" s="1534" t="s">
        <v>508</v>
      </c>
      <c r="CM5" s="1534" t="s">
        <v>509</v>
      </c>
      <c r="CN5" s="1550" t="s">
        <v>409</v>
      </c>
      <c r="CO5" s="1550" t="s">
        <v>402</v>
      </c>
      <c r="CP5" s="1550" t="s">
        <v>408</v>
      </c>
      <c r="CQ5" s="1553" t="s">
        <v>407</v>
      </c>
      <c r="CR5" s="1553" t="s">
        <v>44</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536</v>
      </c>
      <c r="DM5" s="1626" t="s">
        <v>590</v>
      </c>
      <c r="DN5" s="1626" t="s">
        <v>591</v>
      </c>
      <c r="DO5" s="1626" t="s">
        <v>592</v>
      </c>
      <c r="DP5" s="1626" t="s">
        <v>593</v>
      </c>
      <c r="DQ5" s="1626" t="s">
        <v>594</v>
      </c>
      <c r="DR5" s="1626" t="s">
        <v>595</v>
      </c>
      <c r="DS5" s="1626" t="s">
        <v>596</v>
      </c>
      <c r="DT5" s="1626" t="s">
        <v>597</v>
      </c>
      <c r="DU5" s="1639" t="s">
        <v>598</v>
      </c>
      <c r="DV5" s="1639" t="s">
        <v>599</v>
      </c>
      <c r="DW5" s="1636" t="s">
        <v>600</v>
      </c>
      <c r="DX5" s="1626" t="s">
        <v>601</v>
      </c>
      <c r="DY5" s="1633" t="s">
        <v>602</v>
      </c>
      <c r="DZ5" s="1636" t="s">
        <v>603</v>
      </c>
      <c r="EA5" s="1633" t="s">
        <v>604</v>
      </c>
      <c r="EB5" s="1630" t="s">
        <v>648</v>
      </c>
      <c r="EC5" s="1630" t="s">
        <v>681</v>
      </c>
      <c r="ED5" s="1630" t="s">
        <v>650</v>
      </c>
      <c r="EE5" s="1630" t="s">
        <v>685</v>
      </c>
      <c r="EF5" s="1630" t="s">
        <v>686</v>
      </c>
      <c r="EG5" s="1633" t="s">
        <v>687</v>
      </c>
      <c r="EH5" s="1633" t="s">
        <v>688</v>
      </c>
      <c r="EI5" s="1633" t="s">
        <v>652</v>
      </c>
      <c r="EJ5" s="1633" t="s">
        <v>653</v>
      </c>
      <c r="EK5" s="1657" t="s">
        <v>736</v>
      </c>
      <c r="EL5" s="1648" t="s">
        <v>752</v>
      </c>
      <c r="EM5" s="1649"/>
      <c r="EN5" s="1650"/>
      <c r="EO5" s="1546" t="s">
        <v>811</v>
      </c>
      <c r="EP5" s="1546" t="s">
        <v>813</v>
      </c>
      <c r="EQ5" s="1546" t="s">
        <v>814</v>
      </c>
      <c r="ER5" s="1546" t="s">
        <v>819</v>
      </c>
      <c r="ES5" s="1546" t="s">
        <v>824</v>
      </c>
      <c r="ET5" s="1642" t="s">
        <v>895</v>
      </c>
      <c r="EU5" s="1642" t="s">
        <v>896</v>
      </c>
      <c r="EV5" s="1549" t="s">
        <v>913</v>
      </c>
      <c r="EW5" s="1633" t="s">
        <v>916</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810</v>
      </c>
      <c r="B7" s="1580"/>
      <c r="C7" s="1583"/>
      <c r="D7" s="68" t="s">
        <v>440</v>
      </c>
      <c r="E7" s="69" t="s">
        <v>138</v>
      </c>
      <c r="F7" s="69" t="s">
        <v>137</v>
      </c>
      <c r="G7" s="123" t="s">
        <v>36</v>
      </c>
      <c r="H7" s="124" t="s">
        <v>441</v>
      </c>
      <c r="I7" s="9" t="s">
        <v>415</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753</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442</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179</v>
      </c>
      <c r="AO8" s="52" t="s">
        <v>88</v>
      </c>
      <c r="AP8" s="52" t="s">
        <v>91</v>
      </c>
      <c r="AQ8" s="52" t="s">
        <v>115</v>
      </c>
      <c r="AR8" s="52" t="s">
        <v>116</v>
      </c>
      <c r="AS8" s="52" t="s">
        <v>117</v>
      </c>
      <c r="AT8" s="52" t="s">
        <v>118</v>
      </c>
      <c r="AU8" s="52" t="s">
        <v>122</v>
      </c>
      <c r="AV8" s="52" t="s">
        <v>123</v>
      </c>
      <c r="AW8" s="52" t="s">
        <v>124</v>
      </c>
      <c r="AX8" s="52" t="s">
        <v>125</v>
      </c>
      <c r="AY8" s="52" t="s">
        <v>126</v>
      </c>
      <c r="AZ8" s="52" t="s">
        <v>142</v>
      </c>
      <c r="BA8" s="52" t="s">
        <v>150</v>
      </c>
      <c r="BB8" s="52" t="s">
        <v>161</v>
      </c>
      <c r="BC8" s="52" t="s">
        <v>239</v>
      </c>
      <c r="BD8" s="52" t="s">
        <v>170</v>
      </c>
      <c r="BE8" s="52" t="s">
        <v>177</v>
      </c>
      <c r="BF8" s="52" t="s">
        <v>178</v>
      </c>
      <c r="BG8" s="52" t="s">
        <v>234</v>
      </c>
      <c r="BH8" s="52" t="s">
        <v>235</v>
      </c>
      <c r="BI8" s="52" t="s">
        <v>242</v>
      </c>
      <c r="BJ8" s="52" t="s">
        <v>255</v>
      </c>
      <c r="BK8" s="52" t="s">
        <v>258</v>
      </c>
      <c r="BL8" s="52" t="s">
        <v>259</v>
      </c>
      <c r="BM8" s="52"/>
      <c r="BN8" s="52"/>
      <c r="BO8" s="52"/>
      <c r="BP8" s="52"/>
      <c r="BQ8" s="52"/>
      <c r="BR8" s="52"/>
      <c r="BS8" s="52"/>
      <c r="BT8" s="52"/>
      <c r="BU8" s="52"/>
      <c r="BV8" s="52" t="s">
        <v>309</v>
      </c>
      <c r="BW8" s="52" t="s">
        <v>310</v>
      </c>
      <c r="BX8" s="52" t="s">
        <v>315</v>
      </c>
      <c r="BY8" s="52" t="s">
        <v>317</v>
      </c>
      <c r="BZ8" s="52" t="s">
        <v>322</v>
      </c>
      <c r="CA8" s="52" t="s">
        <v>323</v>
      </c>
      <c r="CB8" s="52" t="s">
        <v>389</v>
      </c>
      <c r="CC8" s="52" t="s">
        <v>391</v>
      </c>
      <c r="CD8" s="52" t="s">
        <v>393</v>
      </c>
      <c r="CE8" s="52" t="s">
        <v>403</v>
      </c>
      <c r="CF8" s="52" t="s">
        <v>404</v>
      </c>
      <c r="CG8" s="52" t="s">
        <v>405</v>
      </c>
      <c r="CH8" s="52" t="s">
        <v>406</v>
      </c>
      <c r="CI8" s="52" t="s">
        <v>430</v>
      </c>
      <c r="CJ8" s="52" t="s">
        <v>432</v>
      </c>
      <c r="CK8" s="52" t="s">
        <v>252</v>
      </c>
      <c r="CL8" s="52" t="s">
        <v>349</v>
      </c>
      <c r="CM8" s="52" t="s">
        <v>352</v>
      </c>
      <c r="CN8" s="52"/>
      <c r="CO8" s="52"/>
      <c r="CP8" s="52"/>
      <c r="CQ8" s="52" t="s">
        <v>383</v>
      </c>
      <c r="CR8" s="52" t="s">
        <v>384</v>
      </c>
      <c r="CS8" s="52" t="s">
        <v>188</v>
      </c>
      <c r="CT8" s="52" t="s">
        <v>207</v>
      </c>
      <c r="CU8" s="52" t="s">
        <v>208</v>
      </c>
      <c r="CV8" s="52" t="s">
        <v>209</v>
      </c>
      <c r="CW8" s="52" t="s">
        <v>210</v>
      </c>
      <c r="CX8" s="52" t="s">
        <v>211</v>
      </c>
      <c r="CY8" s="52" t="s">
        <v>212</v>
      </c>
      <c r="CZ8" s="52" t="s">
        <v>213</v>
      </c>
      <c r="DA8" s="52" t="s">
        <v>214</v>
      </c>
      <c r="DB8" s="52" t="s">
        <v>215</v>
      </c>
      <c r="DC8" s="52" t="s">
        <v>219</v>
      </c>
      <c r="DD8" s="52" t="s">
        <v>220</v>
      </c>
      <c r="DE8" s="52" t="s">
        <v>449</v>
      </c>
      <c r="DF8" s="52" t="s">
        <v>45</v>
      </c>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88"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488" t="s">
        <v>754</v>
      </c>
      <c r="EM8" s="488" t="s">
        <v>755</v>
      </c>
      <c r="EN8" s="488" t="s">
        <v>756</v>
      </c>
      <c r="EO8" s="52" t="s">
        <v>812</v>
      </c>
      <c r="EP8" s="52" t="s">
        <v>817</v>
      </c>
      <c r="EQ8" s="52" t="s">
        <v>818</v>
      </c>
      <c r="ER8" s="488">
        <v>148</v>
      </c>
      <c r="ES8" s="488" t="s">
        <v>825</v>
      </c>
      <c r="ET8" s="1306" t="s">
        <v>897</v>
      </c>
      <c r="EU8" s="1306" t="s">
        <v>898</v>
      </c>
      <c r="EV8" s="1306" t="s">
        <v>906</v>
      </c>
      <c r="EW8" s="488" t="s">
        <v>915</v>
      </c>
      <c r="EX8" s="488" t="s">
        <v>939</v>
      </c>
      <c r="EY8" s="488" t="s">
        <v>952</v>
      </c>
    </row>
    <row r="9" spans="1:155" s="694" customFormat="1" ht="14.25" customHeight="1">
      <c r="A9" s="722" t="s">
        <v>48</v>
      </c>
      <c r="B9" s="676" t="s">
        <v>442</v>
      </c>
      <c r="C9" s="677" t="s">
        <v>3</v>
      </c>
      <c r="D9" s="678" t="s">
        <v>20</v>
      </c>
      <c r="E9" s="676" t="s">
        <v>21</v>
      </c>
      <c r="F9" s="676">
        <v>32</v>
      </c>
      <c r="G9" s="679"/>
      <c r="H9" s="723" t="s">
        <v>271</v>
      </c>
      <c r="I9" s="724" t="s">
        <v>943</v>
      </c>
      <c r="J9" s="681" t="s">
        <v>945</v>
      </c>
      <c r="K9" s="681" t="s">
        <v>947</v>
      </c>
      <c r="L9" s="681" t="s">
        <v>949</v>
      </c>
      <c r="M9" s="681" t="s">
        <v>951</v>
      </c>
      <c r="N9" s="681" t="s">
        <v>955</v>
      </c>
      <c r="O9" s="681" t="s">
        <v>356</v>
      </c>
      <c r="P9" s="681" t="s">
        <v>410</v>
      </c>
      <c r="Q9" s="681" t="s">
        <v>411</v>
      </c>
      <c r="R9" s="681" t="s">
        <v>412</v>
      </c>
      <c r="S9" s="681"/>
      <c r="T9" s="681"/>
      <c r="U9" s="681"/>
      <c r="V9" s="681"/>
      <c r="W9" s="681"/>
      <c r="X9" s="725"/>
      <c r="Y9" s="726" t="s">
        <v>226</v>
      </c>
      <c r="Z9" s="681" t="s">
        <v>413</v>
      </c>
      <c r="AA9" s="681" t="s">
        <v>172</v>
      </c>
      <c r="AB9" s="681" t="s">
        <v>173</v>
      </c>
      <c r="AC9" s="681"/>
      <c r="AD9" s="681"/>
      <c r="AE9" s="681"/>
      <c r="AF9" s="725"/>
      <c r="AG9" s="726"/>
      <c r="AH9" s="681"/>
      <c r="AI9" s="681"/>
      <c r="AJ9" s="727"/>
      <c r="AK9" s="724"/>
      <c r="AL9" s="681"/>
      <c r="AM9" s="681"/>
      <c r="AN9" s="725"/>
      <c r="AO9" s="728"/>
      <c r="AP9" s="728"/>
      <c r="AQ9" s="728"/>
      <c r="AR9" s="729"/>
      <c r="AS9" s="730" t="s">
        <v>961</v>
      </c>
      <c r="AT9" s="731"/>
      <c r="AU9" s="730" t="s">
        <v>882</v>
      </c>
      <c r="AV9" s="731"/>
      <c r="AW9" s="730" t="s">
        <v>885</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556</v>
      </c>
      <c r="BW9" s="487" t="s">
        <v>332</v>
      </c>
      <c r="BX9" s="487" t="s">
        <v>333</v>
      </c>
      <c r="BY9" s="487" t="s">
        <v>968</v>
      </c>
      <c r="BZ9" s="487" t="s">
        <v>538</v>
      </c>
      <c r="CA9" s="487" t="s">
        <v>453</v>
      </c>
      <c r="CB9" s="487" t="s">
        <v>454</v>
      </c>
      <c r="CC9" s="487" t="s">
        <v>455</v>
      </c>
      <c r="CD9" s="487" t="s">
        <v>456</v>
      </c>
      <c r="CE9" s="487"/>
      <c r="CF9" s="487"/>
      <c r="CG9" s="487"/>
      <c r="CH9" s="487"/>
      <c r="CI9" s="487" t="s">
        <v>565</v>
      </c>
      <c r="CJ9" s="487" t="s">
        <v>457</v>
      </c>
      <c r="CK9" s="487" t="s">
        <v>550</v>
      </c>
      <c r="CL9" s="487" t="s">
        <v>552</v>
      </c>
      <c r="CM9" s="487" t="s">
        <v>554</v>
      </c>
      <c r="CN9" s="487">
        <v>1088</v>
      </c>
      <c r="CO9" s="487">
        <v>720</v>
      </c>
      <c r="CP9" s="487">
        <v>1088</v>
      </c>
      <c r="CQ9" s="735" t="s">
        <v>929</v>
      </c>
      <c r="CR9" s="735" t="s">
        <v>539</v>
      </c>
      <c r="CS9" s="487"/>
      <c r="CT9" s="487"/>
      <c r="CU9" s="487"/>
      <c r="CV9" s="487" t="s">
        <v>561</v>
      </c>
      <c r="CW9" s="487" t="s">
        <v>452</v>
      </c>
      <c r="CX9" s="487" t="s">
        <v>381</v>
      </c>
      <c r="CY9" s="487" t="s">
        <v>486</v>
      </c>
      <c r="CZ9" s="487" t="s">
        <v>487</v>
      </c>
      <c r="DA9" s="487" t="s">
        <v>488</v>
      </c>
      <c r="DB9" s="730" t="s">
        <v>962</v>
      </c>
      <c r="DC9" s="730" t="s">
        <v>963</v>
      </c>
      <c r="DD9" s="487"/>
      <c r="DE9" s="487" t="s">
        <v>265</v>
      </c>
      <c r="DF9" s="487"/>
      <c r="DG9" s="487" t="s">
        <v>495</v>
      </c>
      <c r="DH9" s="487" t="s">
        <v>558</v>
      </c>
      <c r="DI9" s="487" t="s">
        <v>559</v>
      </c>
      <c r="DJ9" s="487" t="s">
        <v>560</v>
      </c>
      <c r="DK9" s="487"/>
      <c r="DL9" s="487"/>
      <c r="DM9" s="487"/>
      <c r="DN9" s="487"/>
      <c r="DO9" s="487"/>
      <c r="DP9" s="487"/>
      <c r="DQ9" s="487"/>
      <c r="DR9" s="487"/>
      <c r="DS9" s="487"/>
      <c r="DT9" s="487"/>
      <c r="DU9" s="487" t="s">
        <v>743</v>
      </c>
      <c r="DV9" s="487" t="s">
        <v>738</v>
      </c>
      <c r="DW9" s="487" t="s">
        <v>739</v>
      </c>
      <c r="DX9" s="487" t="s">
        <v>740</v>
      </c>
      <c r="DY9" s="487" t="s">
        <v>741</v>
      </c>
      <c r="DZ9" s="487"/>
      <c r="EA9" s="487"/>
      <c r="EB9" s="487"/>
      <c r="EC9" s="487"/>
      <c r="ED9" s="487"/>
      <c r="EE9" s="487"/>
      <c r="EF9" s="487"/>
      <c r="EG9" s="487"/>
      <c r="EH9" s="487"/>
      <c r="EI9" s="487"/>
      <c r="EJ9" s="487"/>
      <c r="EK9" s="487"/>
      <c r="EL9" s="735" t="s">
        <v>867</v>
      </c>
      <c r="EM9" s="735" t="s">
        <v>868</v>
      </c>
      <c r="EN9" s="487" t="s">
        <v>866</v>
      </c>
      <c r="EO9" s="1137" t="s">
        <v>964</v>
      </c>
      <c r="EP9" s="1137" t="s">
        <v>935</v>
      </c>
      <c r="EQ9" s="1137" t="s">
        <v>936</v>
      </c>
      <c r="ER9" s="1150">
        <v>1200</v>
      </c>
      <c r="ES9" s="1146"/>
      <c r="ET9" s="1307"/>
      <c r="EU9" s="1307"/>
      <c r="EV9" s="487" t="s">
        <v>909</v>
      </c>
      <c r="EW9" s="487"/>
      <c r="EX9" s="487"/>
      <c r="EY9" s="487"/>
    </row>
    <row r="10" spans="1:155" ht="14.25" customHeight="1">
      <c r="A10" s="139" t="s">
        <v>155</v>
      </c>
      <c r="B10" s="21" t="s">
        <v>442</v>
      </c>
      <c r="C10" s="22" t="s">
        <v>3</v>
      </c>
      <c r="D10" s="23" t="s">
        <v>85</v>
      </c>
      <c r="E10" s="21" t="s">
        <v>85</v>
      </c>
      <c r="F10" s="21" t="s">
        <v>150</v>
      </c>
      <c r="G10" s="6"/>
      <c r="H10" s="138"/>
      <c r="I10" s="185" t="s">
        <v>580</v>
      </c>
      <c r="J10" s="186" t="s">
        <v>578</v>
      </c>
      <c r="K10" s="186" t="s">
        <v>579</v>
      </c>
      <c r="L10" s="186" t="s">
        <v>584</v>
      </c>
      <c r="M10" s="59" t="s">
        <v>572</v>
      </c>
      <c r="N10" s="59" t="s">
        <v>151</v>
      </c>
      <c r="O10" s="59" t="s">
        <v>249</v>
      </c>
      <c r="P10" s="59" t="s">
        <v>152</v>
      </c>
      <c r="Q10" s="59" t="s">
        <v>153</v>
      </c>
      <c r="R10" s="59" t="s">
        <v>154</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829</v>
      </c>
      <c r="AT10" s="65"/>
      <c r="AU10" s="153" t="s">
        <v>830</v>
      </c>
      <c r="AV10" s="65"/>
      <c r="AW10" s="153" t="s">
        <v>831</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339</v>
      </c>
      <c r="BW10" s="159" t="s">
        <v>386</v>
      </c>
      <c r="BX10" s="159" t="s">
        <v>387</v>
      </c>
      <c r="BY10" s="159" t="s">
        <v>832</v>
      </c>
      <c r="BZ10" s="159"/>
      <c r="CA10" s="159"/>
      <c r="CB10" s="159"/>
      <c r="CC10" s="159"/>
      <c r="CD10" s="159"/>
      <c r="CE10" s="159"/>
      <c r="CF10" s="159"/>
      <c r="CG10" s="159"/>
      <c r="CH10" s="159"/>
      <c r="CI10" s="159" t="s">
        <v>567</v>
      </c>
      <c r="CJ10" s="159" t="s">
        <v>329</v>
      </c>
      <c r="CK10" s="159" t="s">
        <v>510</v>
      </c>
      <c r="CL10" s="159" t="s">
        <v>511</v>
      </c>
      <c r="CM10" s="159" t="s">
        <v>512</v>
      </c>
      <c r="CN10" s="159">
        <v>1175</v>
      </c>
      <c r="CO10" s="159">
        <v>0</v>
      </c>
      <c r="CP10" s="294" t="s">
        <v>459</v>
      </c>
      <c r="CQ10" s="159" t="s">
        <v>833</v>
      </c>
      <c r="CR10" s="159"/>
      <c r="CS10" s="159"/>
      <c r="CT10" s="161"/>
      <c r="CU10" s="161"/>
      <c r="CV10" s="161" t="s">
        <v>346</v>
      </c>
      <c r="CW10" s="161" t="s">
        <v>376</v>
      </c>
      <c r="CX10" s="161" t="s">
        <v>379</v>
      </c>
      <c r="CY10" s="161" t="s">
        <v>568</v>
      </c>
      <c r="CZ10" s="161" t="s">
        <v>569</v>
      </c>
      <c r="DA10" s="161" t="s">
        <v>570</v>
      </c>
      <c r="DB10" s="327" t="s">
        <v>581</v>
      </c>
      <c r="DC10" s="326"/>
      <c r="DD10" s="161"/>
      <c r="DE10" s="161" t="s">
        <v>266</v>
      </c>
      <c r="DF10" s="161"/>
      <c r="DG10" s="161" t="s">
        <v>571</v>
      </c>
      <c r="DH10" s="159" t="s">
        <v>473</v>
      </c>
      <c r="DI10" s="159" t="s">
        <v>471</v>
      </c>
      <c r="DJ10" s="159" t="s">
        <v>472</v>
      </c>
      <c r="DK10" s="159"/>
      <c r="DL10" s="159"/>
      <c r="DM10" s="294"/>
      <c r="DN10" s="294"/>
      <c r="DO10" s="294"/>
      <c r="DP10" s="294"/>
      <c r="DQ10" s="294"/>
      <c r="DR10" s="294"/>
      <c r="DS10" s="294"/>
      <c r="DT10" s="294"/>
      <c r="DU10" s="160" t="s">
        <v>670</v>
      </c>
      <c r="DV10" s="294" t="s">
        <v>790</v>
      </c>
      <c r="DW10" s="294" t="s">
        <v>787</v>
      </c>
      <c r="DX10" s="294" t="s">
        <v>788</v>
      </c>
      <c r="DY10" s="294" t="s">
        <v>789</v>
      </c>
      <c r="DZ10" s="294"/>
      <c r="EA10" s="294"/>
      <c r="EB10" s="294"/>
      <c r="EC10" s="294"/>
      <c r="ED10" s="294"/>
      <c r="EE10" s="294"/>
      <c r="EF10" s="294"/>
      <c r="EG10" s="294"/>
      <c r="EH10" s="294"/>
      <c r="EI10" s="294"/>
      <c r="EJ10" s="294"/>
      <c r="EK10" s="294"/>
      <c r="EL10" s="294"/>
      <c r="EM10" s="294"/>
      <c r="EN10" s="294"/>
      <c r="EO10" s="327" t="s">
        <v>838</v>
      </c>
      <c r="EP10" s="327" t="s">
        <v>839</v>
      </c>
      <c r="EQ10" s="327" t="s">
        <v>840</v>
      </c>
      <c r="ER10" s="1151">
        <v>1600</v>
      </c>
      <c r="ES10" s="349"/>
      <c r="ET10" s="1307"/>
      <c r="EU10" s="1307"/>
      <c r="EV10" s="487" t="s">
        <v>911</v>
      </c>
      <c r="EW10" s="294"/>
      <c r="EX10" s="294"/>
      <c r="EY10" s="294"/>
    </row>
    <row r="11" spans="1:155" s="694" customFormat="1" ht="14.25" customHeight="1" thickBot="1">
      <c r="A11" s="722" t="s">
        <v>443</v>
      </c>
      <c r="B11" s="676" t="s">
        <v>442</v>
      </c>
      <c r="C11" s="677" t="s">
        <v>3</v>
      </c>
      <c r="D11" s="678" t="s">
        <v>20</v>
      </c>
      <c r="E11" s="676" t="s">
        <v>54</v>
      </c>
      <c r="F11" s="676">
        <v>32</v>
      </c>
      <c r="G11" s="679"/>
      <c r="H11" s="695" t="s">
        <v>37</v>
      </c>
      <c r="I11" s="323" t="s">
        <v>878</v>
      </c>
      <c r="J11" s="322" t="s">
        <v>875</v>
      </c>
      <c r="K11" s="322" t="s">
        <v>928</v>
      </c>
      <c r="L11" s="322" t="s">
        <v>886</v>
      </c>
      <c r="M11" s="322" t="s">
        <v>547</v>
      </c>
      <c r="N11" s="322" t="s">
        <v>39</v>
      </c>
      <c r="O11" s="681" t="s">
        <v>246</v>
      </c>
      <c r="P11" s="322" t="s">
        <v>40</v>
      </c>
      <c r="Q11" s="322" t="s">
        <v>41</v>
      </c>
      <c r="R11" s="322" t="s">
        <v>94</v>
      </c>
      <c r="S11" s="322"/>
      <c r="T11" s="322"/>
      <c r="U11" s="322"/>
      <c r="V11" s="322"/>
      <c r="W11" s="322"/>
      <c r="X11" s="682"/>
      <c r="Y11" s="726" t="s">
        <v>226</v>
      </c>
      <c r="Z11" s="681" t="s">
        <v>413</v>
      </c>
      <c r="AA11" s="681" t="s">
        <v>172</v>
      </c>
      <c r="AB11" s="681" t="s">
        <v>173</v>
      </c>
      <c r="AC11" s="322"/>
      <c r="AD11" s="322"/>
      <c r="AE11" s="322"/>
      <c r="AF11" s="682"/>
      <c r="AG11" s="683"/>
      <c r="AH11" s="322"/>
      <c r="AI11" s="322"/>
      <c r="AJ11" s="684"/>
      <c r="AK11" s="323"/>
      <c r="AL11" s="322"/>
      <c r="AM11" s="322"/>
      <c r="AN11" s="682"/>
      <c r="AO11" s="685"/>
      <c r="AP11" s="685"/>
      <c r="AQ11" s="685"/>
      <c r="AR11" s="728"/>
      <c r="AS11" s="683" t="s">
        <v>876</v>
      </c>
      <c r="AT11" s="684"/>
      <c r="AU11" s="683" t="s">
        <v>883</v>
      </c>
      <c r="AV11" s="684"/>
      <c r="AW11" s="683" t="s">
        <v>887</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555</v>
      </c>
      <c r="BW11" s="487" t="s">
        <v>280</v>
      </c>
      <c r="BX11" s="487" t="s">
        <v>281</v>
      </c>
      <c r="BY11" s="696" t="s">
        <v>970</v>
      </c>
      <c r="BZ11" s="487" t="s">
        <v>809</v>
      </c>
      <c r="CA11" s="487" t="s">
        <v>316</v>
      </c>
      <c r="CB11" s="487" t="s">
        <v>311</v>
      </c>
      <c r="CC11" s="487" t="s">
        <v>312</v>
      </c>
      <c r="CD11" s="487" t="s">
        <v>313</v>
      </c>
      <c r="CE11" s="696"/>
      <c r="CF11" s="696"/>
      <c r="CG11" s="696"/>
      <c r="CH11" s="696"/>
      <c r="CI11" s="696" t="s">
        <v>540</v>
      </c>
      <c r="CJ11" s="696" t="s">
        <v>324</v>
      </c>
      <c r="CK11" s="487" t="s">
        <v>549</v>
      </c>
      <c r="CL11" s="487" t="s">
        <v>551</v>
      </c>
      <c r="CM11" s="487" t="s">
        <v>553</v>
      </c>
      <c r="CN11" s="487">
        <v>1088</v>
      </c>
      <c r="CO11" s="696">
        <v>1000</v>
      </c>
      <c r="CP11" s="487">
        <v>1088</v>
      </c>
      <c r="CQ11" s="487" t="s">
        <v>932</v>
      </c>
      <c r="CR11" s="487" t="s">
        <v>931</v>
      </c>
      <c r="CS11" s="696"/>
      <c r="CT11" s="487"/>
      <c r="CU11" s="487"/>
      <c r="CV11" s="487" t="s">
        <v>561</v>
      </c>
      <c r="CW11" s="487" t="s">
        <v>372</v>
      </c>
      <c r="CX11" s="487" t="s">
        <v>381</v>
      </c>
      <c r="CY11" s="487" t="s">
        <v>486</v>
      </c>
      <c r="CZ11" s="487" t="s">
        <v>487</v>
      </c>
      <c r="DA11" s="487" t="s">
        <v>488</v>
      </c>
      <c r="DB11" s="335" t="s">
        <v>956</v>
      </c>
      <c r="DC11" s="335" t="s">
        <v>957</v>
      </c>
      <c r="DD11" s="487"/>
      <c r="DE11" s="487" t="s">
        <v>267</v>
      </c>
      <c r="DF11" s="487"/>
      <c r="DG11" s="487" t="s">
        <v>495</v>
      </c>
      <c r="DH11" s="487" t="s">
        <v>558</v>
      </c>
      <c r="DI11" s="487" t="s">
        <v>559</v>
      </c>
      <c r="DJ11" s="487" t="s">
        <v>560</v>
      </c>
      <c r="DK11" s="487"/>
      <c r="DL11" s="487"/>
      <c r="DM11" s="735"/>
      <c r="DN11" s="735"/>
      <c r="DO11" s="735"/>
      <c r="DP11" s="735"/>
      <c r="DQ11" s="735"/>
      <c r="DR11" s="735"/>
      <c r="DS11" s="735"/>
      <c r="DT11" s="735"/>
      <c r="DU11" s="735" t="s">
        <v>743</v>
      </c>
      <c r="DV11" s="735" t="s">
        <v>738</v>
      </c>
      <c r="DW11" s="735" t="s">
        <v>739</v>
      </c>
      <c r="DX11" s="735" t="s">
        <v>740</v>
      </c>
      <c r="DY11" s="735" t="s">
        <v>741</v>
      </c>
      <c r="DZ11" s="735"/>
      <c r="EA11" s="735"/>
      <c r="EB11" s="735"/>
      <c r="EC11" s="735"/>
      <c r="ED11" s="735"/>
      <c r="EE11" s="735"/>
      <c r="EF11" s="735"/>
      <c r="EG11" s="735"/>
      <c r="EH11" s="735"/>
      <c r="EI11" s="735"/>
      <c r="EJ11" s="735"/>
      <c r="EK11" s="735"/>
      <c r="EL11" s="735"/>
      <c r="EM11" s="735"/>
      <c r="EN11" s="735"/>
      <c r="EO11" s="1170" t="s">
        <v>965</v>
      </c>
      <c r="EP11" s="1170" t="s">
        <v>933</v>
      </c>
      <c r="EQ11" s="1170" t="s">
        <v>934</v>
      </c>
      <c r="ER11" s="1152">
        <v>1323</v>
      </c>
      <c r="ES11" s="1147"/>
      <c r="ET11" s="1307"/>
      <c r="EU11" s="1307"/>
      <c r="EV11" s="487" t="s">
        <v>908</v>
      </c>
      <c r="EW11" s="735"/>
      <c r="EX11" s="735"/>
      <c r="EY11" s="735"/>
    </row>
    <row r="12" spans="1:155" s="694" customFormat="1" ht="14.25" customHeight="1">
      <c r="A12" s="722" t="s">
        <v>444</v>
      </c>
      <c r="B12" s="676" t="s">
        <v>442</v>
      </c>
      <c r="C12" s="677" t="s">
        <v>3</v>
      </c>
      <c r="D12" s="678" t="s">
        <v>20</v>
      </c>
      <c r="E12" s="676" t="s">
        <v>20</v>
      </c>
      <c r="F12" s="676">
        <v>31</v>
      </c>
      <c r="G12" s="679"/>
      <c r="H12" s="738"/>
      <c r="I12" s="323" t="s">
        <v>944</v>
      </c>
      <c r="J12" s="322" t="s">
        <v>946</v>
      </c>
      <c r="K12" s="322" t="s">
        <v>948</v>
      </c>
      <c r="L12" s="322" t="s">
        <v>950</v>
      </c>
      <c r="M12" s="322" t="s">
        <v>942</v>
      </c>
      <c r="N12" s="322" t="s">
        <v>39</v>
      </c>
      <c r="O12" s="681" t="s">
        <v>246</v>
      </c>
      <c r="P12" s="322" t="s">
        <v>421</v>
      </c>
      <c r="Q12" s="322" t="s">
        <v>422</v>
      </c>
      <c r="R12" s="322" t="s">
        <v>423</v>
      </c>
      <c r="S12" s="322"/>
      <c r="T12" s="322"/>
      <c r="U12" s="322"/>
      <c r="V12" s="322"/>
      <c r="W12" s="322"/>
      <c r="X12" s="682"/>
      <c r="Y12" s="726" t="s">
        <v>226</v>
      </c>
      <c r="Z12" s="681" t="s">
        <v>413</v>
      </c>
      <c r="AA12" s="681" t="s">
        <v>172</v>
      </c>
      <c r="AB12" s="681" t="s">
        <v>173</v>
      </c>
      <c r="AC12" s="322"/>
      <c r="AD12" s="322"/>
      <c r="AE12" s="322"/>
      <c r="AF12" s="682"/>
      <c r="AG12" s="683"/>
      <c r="AH12" s="322"/>
      <c r="AI12" s="322"/>
      <c r="AJ12" s="684"/>
      <c r="AK12" s="323"/>
      <c r="AL12" s="322"/>
      <c r="AM12" s="322"/>
      <c r="AN12" s="682"/>
      <c r="AO12" s="685"/>
      <c r="AP12" s="685"/>
      <c r="AQ12" s="685"/>
      <c r="AR12" s="728"/>
      <c r="AS12" s="683" t="s">
        <v>958</v>
      </c>
      <c r="AT12" s="684"/>
      <c r="AU12" s="683" t="s">
        <v>880</v>
      </c>
      <c r="AV12" s="684"/>
      <c r="AW12" s="683" t="s">
        <v>888</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557</v>
      </c>
      <c r="BW12" s="487" t="s">
        <v>424</v>
      </c>
      <c r="BX12" s="487" t="s">
        <v>425</v>
      </c>
      <c r="BY12" s="696" t="s">
        <v>969</v>
      </c>
      <c r="BZ12" s="487"/>
      <c r="CA12" s="487" t="s">
        <v>316</v>
      </c>
      <c r="CB12" s="487" t="s">
        <v>311</v>
      </c>
      <c r="CC12" s="487" t="s">
        <v>312</v>
      </c>
      <c r="CD12" s="487" t="s">
        <v>313</v>
      </c>
      <c r="CE12" s="696"/>
      <c r="CF12" s="696"/>
      <c r="CG12" s="696"/>
      <c r="CH12" s="696"/>
      <c r="CI12" s="696" t="s">
        <v>540</v>
      </c>
      <c r="CJ12" s="696" t="s">
        <v>324</v>
      </c>
      <c r="CK12" s="487" t="s">
        <v>550</v>
      </c>
      <c r="CL12" s="487" t="s">
        <v>552</v>
      </c>
      <c r="CM12" s="487" t="s">
        <v>554</v>
      </c>
      <c r="CN12" s="735" t="s">
        <v>368</v>
      </c>
      <c r="CO12" s="696">
        <v>2880</v>
      </c>
      <c r="CP12" s="735" t="s">
        <v>336</v>
      </c>
      <c r="CQ12" s="735" t="s">
        <v>930</v>
      </c>
      <c r="CR12" s="735"/>
      <c r="CS12" s="696"/>
      <c r="CT12" s="487"/>
      <c r="CU12" s="487"/>
      <c r="CV12" s="487" t="s">
        <v>561</v>
      </c>
      <c r="CW12" s="487" t="s">
        <v>372</v>
      </c>
      <c r="CX12" s="487" t="s">
        <v>381</v>
      </c>
      <c r="CY12" s="487" t="s">
        <v>486</v>
      </c>
      <c r="CZ12" s="487" t="s">
        <v>487</v>
      </c>
      <c r="DA12" s="487" t="s">
        <v>488</v>
      </c>
      <c r="DB12" s="730" t="s">
        <v>959</v>
      </c>
      <c r="DC12" s="730" t="s">
        <v>960</v>
      </c>
      <c r="DD12" s="487"/>
      <c r="DE12" s="487" t="s">
        <v>268</v>
      </c>
      <c r="DF12" s="487"/>
      <c r="DG12" s="487" t="s">
        <v>495</v>
      </c>
      <c r="DH12" s="487" t="s">
        <v>558</v>
      </c>
      <c r="DI12" s="487" t="s">
        <v>559</v>
      </c>
      <c r="DJ12" s="487" t="s">
        <v>560</v>
      </c>
      <c r="DK12" s="487"/>
      <c r="DL12" s="487"/>
      <c r="DM12" s="735"/>
      <c r="DN12" s="735"/>
      <c r="DO12" s="735"/>
      <c r="DP12" s="735"/>
      <c r="DQ12" s="735"/>
      <c r="DR12" s="735"/>
      <c r="DS12" s="735"/>
      <c r="DT12" s="735"/>
      <c r="DU12" s="735" t="s">
        <v>743</v>
      </c>
      <c r="DV12" s="735" t="s">
        <v>738</v>
      </c>
      <c r="DW12" s="735" t="s">
        <v>739</v>
      </c>
      <c r="DX12" s="735" t="s">
        <v>740</v>
      </c>
      <c r="DY12" s="735" t="s">
        <v>741</v>
      </c>
      <c r="DZ12" s="735"/>
      <c r="EA12" s="735"/>
      <c r="EB12" s="735"/>
      <c r="EC12" s="735"/>
      <c r="ED12" s="735"/>
      <c r="EE12" s="735"/>
      <c r="EF12" s="735"/>
      <c r="EG12" s="735"/>
      <c r="EH12" s="735"/>
      <c r="EI12" s="735"/>
      <c r="EJ12" s="735"/>
      <c r="EK12" s="735"/>
      <c r="EL12" s="735" t="s">
        <v>867</v>
      </c>
      <c r="EM12" s="735" t="s">
        <v>868</v>
      </c>
      <c r="EN12" s="487" t="s">
        <v>866</v>
      </c>
      <c r="EO12" s="1137" t="s">
        <v>967</v>
      </c>
      <c r="EP12" s="1137" t="s">
        <v>937</v>
      </c>
      <c r="EQ12" s="1137" t="s">
        <v>938</v>
      </c>
      <c r="ER12" s="1150">
        <v>680</v>
      </c>
      <c r="ES12" s="1148"/>
      <c r="ET12" s="1307"/>
      <c r="EU12" s="1307"/>
      <c r="EV12" s="487" t="s">
        <v>908</v>
      </c>
      <c r="EW12" s="735"/>
      <c r="EX12" s="735"/>
      <c r="EY12" s="735"/>
    </row>
    <row r="13" spans="1:155" ht="14.25" customHeight="1">
      <c r="A13" s="20" t="s">
        <v>111</v>
      </c>
      <c r="B13" s="21" t="s">
        <v>442</v>
      </c>
      <c r="C13" s="22" t="s">
        <v>3</v>
      </c>
      <c r="D13" s="23" t="s">
        <v>23</v>
      </c>
      <c r="E13" s="21" t="s">
        <v>23</v>
      </c>
      <c r="F13" s="21" t="s">
        <v>75</v>
      </c>
      <c r="G13" s="6"/>
      <c r="H13" s="29"/>
      <c r="I13" s="25" t="s">
        <v>107</v>
      </c>
      <c r="J13" s="26" t="s">
        <v>108</v>
      </c>
      <c r="K13" s="26" t="s">
        <v>109</v>
      </c>
      <c r="L13" s="26" t="s">
        <v>110</v>
      </c>
      <c r="M13" s="26" t="s">
        <v>106</v>
      </c>
      <c r="N13" s="26" t="s">
        <v>564</v>
      </c>
      <c r="O13" s="26" t="s">
        <v>254</v>
      </c>
      <c r="P13" s="26" t="s">
        <v>163</v>
      </c>
      <c r="Q13" s="26" t="s">
        <v>165</v>
      </c>
      <c r="R13" s="26" t="s">
        <v>164</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341</v>
      </c>
      <c r="BW13" s="162"/>
      <c r="BX13" s="162"/>
      <c r="BY13" s="162" t="s">
        <v>366</v>
      </c>
      <c r="BZ13" s="162"/>
      <c r="CA13" s="162"/>
      <c r="CB13" s="162"/>
      <c r="CC13" s="162"/>
      <c r="CD13" s="162"/>
      <c r="CE13" s="162"/>
      <c r="CF13" s="162"/>
      <c r="CG13" s="162"/>
      <c r="CH13" s="162"/>
      <c r="CI13" s="162" t="s">
        <v>326</v>
      </c>
      <c r="CJ13" s="162" t="s">
        <v>327</v>
      </c>
      <c r="CK13" s="162" t="s">
        <v>513</v>
      </c>
      <c r="CL13" s="162" t="s">
        <v>514</v>
      </c>
      <c r="CM13" s="162" t="s">
        <v>515</v>
      </c>
      <c r="CN13" s="162">
        <v>1262</v>
      </c>
      <c r="CO13" s="162"/>
      <c r="CP13" s="162">
        <v>1262</v>
      </c>
      <c r="CQ13" s="162" t="s">
        <v>367</v>
      </c>
      <c r="CR13" s="162"/>
      <c r="CS13" s="162"/>
      <c r="CT13" s="161"/>
      <c r="CU13" s="161"/>
      <c r="CV13" s="161" t="s">
        <v>348</v>
      </c>
      <c r="CW13" s="161"/>
      <c r="CX13" s="161"/>
      <c r="CY13" s="161"/>
      <c r="CZ13" s="161"/>
      <c r="DA13" s="161"/>
      <c r="DB13" s="152" t="s">
        <v>108</v>
      </c>
      <c r="DC13" s="328"/>
      <c r="DD13" s="161"/>
      <c r="DE13" s="161" t="s">
        <v>269</v>
      </c>
      <c r="DF13" s="161"/>
      <c r="DG13" s="487"/>
      <c r="DH13" s="162" t="s">
        <v>477</v>
      </c>
      <c r="DI13" s="162" t="s">
        <v>478</v>
      </c>
      <c r="DJ13" s="162" t="s">
        <v>479</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442</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442</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445</v>
      </c>
      <c r="B16" s="676" t="s">
        <v>442</v>
      </c>
      <c r="C16" s="677" t="s">
        <v>3</v>
      </c>
      <c r="D16" s="678" t="s">
        <v>20</v>
      </c>
      <c r="E16" s="676" t="s">
        <v>22</v>
      </c>
      <c r="F16" s="676">
        <v>33</v>
      </c>
      <c r="G16" s="679"/>
      <c r="H16" s="680"/>
      <c r="I16" s="323" t="s">
        <v>575</v>
      </c>
      <c r="J16" s="322" t="s">
        <v>846</v>
      </c>
      <c r="K16" s="322" t="s">
        <v>854</v>
      </c>
      <c r="L16" s="322" t="s">
        <v>859</v>
      </c>
      <c r="M16" s="322" t="s">
        <v>574</v>
      </c>
      <c r="N16" s="322" t="s">
        <v>357</v>
      </c>
      <c r="O16" s="681" t="s">
        <v>358</v>
      </c>
      <c r="P16" s="322" t="s">
        <v>530</v>
      </c>
      <c r="Q16" s="322" t="s">
        <v>531</v>
      </c>
      <c r="R16" s="322" t="s">
        <v>532</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808</v>
      </c>
      <c r="AT16" s="684" t="s">
        <v>801</v>
      </c>
      <c r="AU16" s="683" t="s">
        <v>585</v>
      </c>
      <c r="AV16" s="684" t="s">
        <v>802</v>
      </c>
      <c r="AW16" s="683" t="s">
        <v>586</v>
      </c>
      <c r="AX16" s="684" t="s">
        <v>803</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420</v>
      </c>
      <c r="BW16" s="692" t="s">
        <v>334</v>
      </c>
      <c r="BX16" s="692" t="s">
        <v>335</v>
      </c>
      <c r="BY16" s="693" t="s">
        <v>834</v>
      </c>
      <c r="BZ16" s="693" t="s">
        <v>920</v>
      </c>
      <c r="CA16" s="692"/>
      <c r="CB16" s="692"/>
      <c r="CC16" s="692"/>
      <c r="CD16" s="692"/>
      <c r="CE16" s="692"/>
      <c r="CF16" s="692"/>
      <c r="CG16" s="692"/>
      <c r="CH16" s="692"/>
      <c r="CI16" s="692" t="s">
        <v>546</v>
      </c>
      <c r="CJ16" s="692" t="s">
        <v>437</v>
      </c>
      <c r="CK16" s="692" t="s">
        <v>516</v>
      </c>
      <c r="CL16" s="692" t="s">
        <v>517</v>
      </c>
      <c r="CM16" s="692" t="s">
        <v>518</v>
      </c>
      <c r="CN16" s="692">
        <v>1262</v>
      </c>
      <c r="CO16" s="692">
        <v>6600</v>
      </c>
      <c r="CP16" s="692">
        <v>1262</v>
      </c>
      <c r="CQ16" s="693" t="s">
        <v>576</v>
      </c>
      <c r="CR16" s="693" t="s">
        <v>921</v>
      </c>
      <c r="CS16" s="692" t="s">
        <v>429</v>
      </c>
      <c r="CT16" s="487"/>
      <c r="CU16" s="487"/>
      <c r="CV16" s="487" t="s">
        <v>414</v>
      </c>
      <c r="CW16" s="487" t="s">
        <v>373</v>
      </c>
      <c r="CX16" s="487" t="s">
        <v>180</v>
      </c>
      <c r="CY16" s="487"/>
      <c r="CZ16" s="487"/>
      <c r="DA16" s="487"/>
      <c r="DB16" s="335" t="s">
        <v>847</v>
      </c>
      <c r="DC16" s="335" t="s">
        <v>848</v>
      </c>
      <c r="DD16" s="487"/>
      <c r="DE16" s="487" t="s">
        <v>583</v>
      </c>
      <c r="DF16" s="487" t="s">
        <v>451</v>
      </c>
      <c r="DG16" s="487"/>
      <c r="DH16" s="692" t="s">
        <v>468</v>
      </c>
      <c r="DI16" s="692" t="s">
        <v>469</v>
      </c>
      <c r="DJ16" s="692" t="s">
        <v>470</v>
      </c>
      <c r="DK16" s="692"/>
      <c r="DL16" s="692"/>
      <c r="DM16" s="692"/>
      <c r="DN16" s="692"/>
      <c r="DO16" s="692"/>
      <c r="DP16" s="692"/>
      <c r="DQ16" s="692"/>
      <c r="DR16" s="692"/>
      <c r="DS16" s="692"/>
      <c r="DT16" s="692"/>
      <c r="DU16" s="692" t="s">
        <v>669</v>
      </c>
      <c r="DV16" s="692"/>
      <c r="DW16" s="692"/>
      <c r="DX16" s="692"/>
      <c r="DY16" s="692"/>
      <c r="DZ16" s="692"/>
      <c r="EA16" s="692"/>
      <c r="EB16" s="692" t="s">
        <v>806</v>
      </c>
      <c r="EC16" s="692" t="s">
        <v>678</v>
      </c>
      <c r="ED16" s="692"/>
      <c r="EE16" s="692">
        <v>6000</v>
      </c>
      <c r="EF16" s="692">
        <v>650</v>
      </c>
      <c r="EG16" s="692"/>
      <c r="EH16" s="692"/>
      <c r="EI16" s="692" t="s">
        <v>679</v>
      </c>
      <c r="EJ16" s="692"/>
      <c r="EK16" s="692"/>
      <c r="EL16" s="692"/>
      <c r="EM16" s="692"/>
      <c r="EN16" s="692"/>
      <c r="EO16" s="1136" t="s">
        <v>877</v>
      </c>
      <c r="EP16" s="1136" t="s">
        <v>881</v>
      </c>
      <c r="EQ16" s="1136" t="s">
        <v>889</v>
      </c>
      <c r="ER16" s="1153" t="s">
        <v>837</v>
      </c>
      <c r="ES16" s="1147"/>
      <c r="ET16" s="1307"/>
      <c r="EU16" s="1307"/>
      <c r="EV16" s="487" t="s">
        <v>907</v>
      </c>
      <c r="EW16" s="692"/>
      <c r="EX16" s="692"/>
      <c r="EY16" s="692"/>
    </row>
    <row r="17" spans="1:155" ht="14.25" customHeight="1">
      <c r="A17" s="7" t="s">
        <v>444</v>
      </c>
      <c r="B17" s="21" t="s">
        <v>442</v>
      </c>
      <c r="C17" s="22" t="s">
        <v>3</v>
      </c>
      <c r="D17" s="23" t="s">
        <v>20</v>
      </c>
      <c r="E17" s="21" t="s">
        <v>20</v>
      </c>
      <c r="F17" s="21">
        <v>31</v>
      </c>
      <c r="G17" s="6"/>
      <c r="H17" s="24"/>
      <c r="I17" s="25" t="s">
        <v>575</v>
      </c>
      <c r="J17" s="26" t="s">
        <v>849</v>
      </c>
      <c r="K17" s="26" t="s">
        <v>855</v>
      </c>
      <c r="L17" s="26" t="s">
        <v>860</v>
      </c>
      <c r="M17" s="26" t="s">
        <v>574</v>
      </c>
      <c r="N17" s="26" t="s">
        <v>167</v>
      </c>
      <c r="O17" s="59" t="s">
        <v>247</v>
      </c>
      <c r="P17" s="26" t="s">
        <v>530</v>
      </c>
      <c r="Q17" s="26" t="s">
        <v>531</v>
      </c>
      <c r="R17" s="26" t="s">
        <v>532</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850</v>
      </c>
      <c r="AT17" s="27"/>
      <c r="AU17" s="51" t="s">
        <v>856</v>
      </c>
      <c r="AV17" s="27"/>
      <c r="AW17" s="51" t="s">
        <v>861</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420</v>
      </c>
      <c r="BW17" s="160" t="s">
        <v>418</v>
      </c>
      <c r="BX17" s="160" t="s">
        <v>419</v>
      </c>
      <c r="BY17" s="178" t="s">
        <v>588</v>
      </c>
      <c r="BZ17" s="162"/>
      <c r="CA17" s="162"/>
      <c r="CB17" s="162"/>
      <c r="CC17" s="162"/>
      <c r="CD17" s="162"/>
      <c r="CE17" s="162"/>
      <c r="CF17" s="162"/>
      <c r="CG17" s="162"/>
      <c r="CH17" s="162"/>
      <c r="CI17" s="162" t="s">
        <v>546</v>
      </c>
      <c r="CJ17" s="162" t="s">
        <v>437</v>
      </c>
      <c r="CK17" s="160" t="s">
        <v>516</v>
      </c>
      <c r="CL17" s="160" t="s">
        <v>517</v>
      </c>
      <c r="CM17" s="160" t="s">
        <v>518</v>
      </c>
      <c r="CN17" s="294" t="s">
        <v>368</v>
      </c>
      <c r="CO17" s="162">
        <v>2880</v>
      </c>
      <c r="CP17" s="219" t="s">
        <v>337</v>
      </c>
      <c r="CQ17" s="219" t="s">
        <v>576</v>
      </c>
      <c r="CR17" s="219"/>
      <c r="CS17" s="160" t="s">
        <v>429</v>
      </c>
      <c r="CT17" s="161"/>
      <c r="CU17" s="161"/>
      <c r="CV17" s="161" t="s">
        <v>414</v>
      </c>
      <c r="CW17" s="161" t="s">
        <v>373</v>
      </c>
      <c r="CX17" s="161" t="s">
        <v>180</v>
      </c>
      <c r="CY17" s="161"/>
      <c r="CZ17" s="161"/>
      <c r="DA17" s="161"/>
      <c r="DB17" s="152" t="s">
        <v>851</v>
      </c>
      <c r="DC17" s="152" t="s">
        <v>852</v>
      </c>
      <c r="DD17" s="161"/>
      <c r="DE17" s="161" t="s">
        <v>583</v>
      </c>
      <c r="DF17" s="161" t="s">
        <v>451</v>
      </c>
      <c r="DG17" s="487"/>
      <c r="DH17" s="160" t="s">
        <v>468</v>
      </c>
      <c r="DI17" s="160" t="s">
        <v>469</v>
      </c>
      <c r="DJ17" s="160" t="s">
        <v>470</v>
      </c>
      <c r="DK17" s="160"/>
      <c r="DL17" s="160"/>
      <c r="DM17" s="160"/>
      <c r="DN17" s="160"/>
      <c r="DO17" s="160"/>
      <c r="DP17" s="160"/>
      <c r="DQ17" s="160"/>
      <c r="DR17" s="160"/>
      <c r="DS17" s="160"/>
      <c r="DT17" s="160"/>
      <c r="DU17" s="160" t="s">
        <v>669</v>
      </c>
      <c r="DV17" s="160"/>
      <c r="DW17" s="160"/>
      <c r="DX17" s="160"/>
      <c r="DY17" s="160"/>
      <c r="DZ17" s="160"/>
      <c r="EA17" s="160"/>
      <c r="EB17" s="160"/>
      <c r="EC17" s="160"/>
      <c r="ED17" s="160"/>
      <c r="EE17" s="160"/>
      <c r="EF17" s="160"/>
      <c r="EG17" s="160"/>
      <c r="EH17" s="160"/>
      <c r="EI17" s="160" t="s">
        <v>679</v>
      </c>
      <c r="EJ17" s="160"/>
      <c r="EK17" s="160"/>
      <c r="EL17" s="160"/>
      <c r="EM17" s="160"/>
      <c r="EN17" s="160"/>
      <c r="EO17" s="1136" t="s">
        <v>853</v>
      </c>
      <c r="EP17" s="1136" t="s">
        <v>857</v>
      </c>
      <c r="EQ17" s="1136" t="s">
        <v>862</v>
      </c>
      <c r="ER17" s="1152">
        <v>1000</v>
      </c>
      <c r="ES17" s="1147"/>
      <c r="ET17" s="1307"/>
      <c r="EU17" s="1307"/>
      <c r="EV17" s="487" t="s">
        <v>907</v>
      </c>
      <c r="EW17" s="160"/>
      <c r="EX17" s="160"/>
      <c r="EY17" s="160"/>
    </row>
    <row r="18" spans="1:155" ht="14.25" customHeight="1">
      <c r="A18" s="7" t="s">
        <v>155</v>
      </c>
      <c r="B18" s="21" t="s">
        <v>442</v>
      </c>
      <c r="C18" s="22" t="s">
        <v>3</v>
      </c>
      <c r="D18" s="23" t="s">
        <v>85</v>
      </c>
      <c r="E18" s="21" t="s">
        <v>85</v>
      </c>
      <c r="F18" s="21" t="s">
        <v>150</v>
      </c>
      <c r="G18" s="6"/>
      <c r="H18" s="24"/>
      <c r="I18" s="25" t="s">
        <v>156</v>
      </c>
      <c r="J18" s="26" t="s">
        <v>901</v>
      </c>
      <c r="K18" s="26" t="s">
        <v>158</v>
      </c>
      <c r="L18" s="26" t="s">
        <v>858</v>
      </c>
      <c r="M18" s="26" t="s">
        <v>573</v>
      </c>
      <c r="N18" s="26" t="s">
        <v>168</v>
      </c>
      <c r="O18" s="26" t="s">
        <v>248</v>
      </c>
      <c r="P18" s="26" t="s">
        <v>524</v>
      </c>
      <c r="Q18" s="26" t="s">
        <v>525</v>
      </c>
      <c r="R18" s="26" t="s">
        <v>526</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589</v>
      </c>
      <c r="AT18" s="486" t="s">
        <v>360</v>
      </c>
      <c r="AU18" s="153" t="s">
        <v>361</v>
      </c>
      <c r="AV18" s="486" t="s">
        <v>362</v>
      </c>
      <c r="AW18" s="153" t="s">
        <v>363</v>
      </c>
      <c r="AX18" s="486" t="s">
        <v>364</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338</v>
      </c>
      <c r="BW18" s="159" t="s">
        <v>342</v>
      </c>
      <c r="BX18" s="159" t="s">
        <v>343</v>
      </c>
      <c r="BY18" s="178" t="s">
        <v>795</v>
      </c>
      <c r="BZ18" s="179" t="s">
        <v>805</v>
      </c>
      <c r="CA18" s="159"/>
      <c r="CB18" s="159"/>
      <c r="CC18" s="159"/>
      <c r="CD18" s="159"/>
      <c r="CE18" s="159"/>
      <c r="CF18" s="159"/>
      <c r="CG18" s="159"/>
      <c r="CH18" s="159"/>
      <c r="CI18" s="159" t="s">
        <v>566</v>
      </c>
      <c r="CJ18" s="159" t="s">
        <v>328</v>
      </c>
      <c r="CK18" s="159" t="s">
        <v>519</v>
      </c>
      <c r="CL18" s="159" t="s">
        <v>520</v>
      </c>
      <c r="CM18" s="159" t="s">
        <v>520</v>
      </c>
      <c r="CN18" s="159">
        <v>1175</v>
      </c>
      <c r="CO18" s="159">
        <v>1800</v>
      </c>
      <c r="CP18" s="294" t="s">
        <v>458</v>
      </c>
      <c r="CQ18" s="159" t="s">
        <v>804</v>
      </c>
      <c r="CR18" s="159"/>
      <c r="CS18" s="159" t="s">
        <v>683</v>
      </c>
      <c r="CT18" s="161"/>
      <c r="CU18" s="161"/>
      <c r="CV18" s="161" t="s">
        <v>345</v>
      </c>
      <c r="CW18" s="161" t="s">
        <v>375</v>
      </c>
      <c r="CX18" s="161" t="s">
        <v>378</v>
      </c>
      <c r="CY18" s="161"/>
      <c r="CZ18" s="161"/>
      <c r="DA18" s="161"/>
      <c r="DB18" s="327" t="s">
        <v>845</v>
      </c>
      <c r="DC18" s="333"/>
      <c r="DD18" s="161"/>
      <c r="DE18" s="334" t="s">
        <v>582</v>
      </c>
      <c r="DF18" s="334" t="s">
        <v>157</v>
      </c>
      <c r="DG18" s="487"/>
      <c r="DH18" s="159" t="s">
        <v>476</v>
      </c>
      <c r="DI18" s="159" t="s">
        <v>474</v>
      </c>
      <c r="DJ18" s="159" t="s">
        <v>475</v>
      </c>
      <c r="DK18" s="159"/>
      <c r="DL18" s="159"/>
      <c r="DM18" s="160"/>
      <c r="DN18" s="160"/>
      <c r="DO18" s="160"/>
      <c r="DP18" s="160"/>
      <c r="DQ18" s="160"/>
      <c r="DR18" s="160"/>
      <c r="DS18" s="160"/>
      <c r="DT18" s="160"/>
      <c r="DU18" s="160" t="s">
        <v>670</v>
      </c>
      <c r="DV18" s="160"/>
      <c r="DW18" s="160"/>
      <c r="DX18" s="160"/>
      <c r="DY18" s="160"/>
      <c r="DZ18" s="160"/>
      <c r="EA18" s="160"/>
      <c r="EB18" s="160" t="s">
        <v>677</v>
      </c>
      <c r="EC18" s="160" t="s">
        <v>680</v>
      </c>
      <c r="ED18" s="160"/>
      <c r="EE18" s="160">
        <v>1200</v>
      </c>
      <c r="EF18" s="160">
        <v>600</v>
      </c>
      <c r="EG18" s="160"/>
      <c r="EH18" s="160"/>
      <c r="EI18" s="160" t="s">
        <v>682</v>
      </c>
      <c r="EJ18" s="160"/>
      <c r="EK18" s="160"/>
      <c r="EL18" s="160"/>
      <c r="EM18" s="160"/>
      <c r="EN18" s="160"/>
      <c r="EO18" s="327" t="s">
        <v>845</v>
      </c>
      <c r="EP18" s="327" t="s">
        <v>158</v>
      </c>
      <c r="EQ18" s="327" t="s">
        <v>858</v>
      </c>
      <c r="ER18" s="1151">
        <v>1600</v>
      </c>
      <c r="ES18" s="349"/>
      <c r="ET18" s="1307"/>
      <c r="EU18" s="1307"/>
      <c r="EV18" s="487" t="s">
        <v>910</v>
      </c>
      <c r="EW18" s="160"/>
      <c r="EX18" s="160"/>
      <c r="EY18" s="160"/>
    </row>
    <row r="19" spans="1:155" ht="14.25" customHeight="1">
      <c r="A19" s="7" t="s">
        <v>446</v>
      </c>
      <c r="B19" s="21" t="s">
        <v>442</v>
      </c>
      <c r="C19" s="22" t="s">
        <v>3</v>
      </c>
      <c r="D19" s="23" t="s">
        <v>23</v>
      </c>
      <c r="E19" s="21" t="s">
        <v>23</v>
      </c>
      <c r="F19" s="21">
        <v>26</v>
      </c>
      <c r="G19" s="6"/>
      <c r="H19" s="24"/>
      <c r="I19" s="25" t="s">
        <v>47</v>
      </c>
      <c r="J19" s="26" t="s">
        <v>385</v>
      </c>
      <c r="K19" s="26" t="s">
        <v>890</v>
      </c>
      <c r="L19" s="26" t="s">
        <v>104</v>
      </c>
      <c r="M19" s="26" t="s">
        <v>105</v>
      </c>
      <c r="N19" s="26" t="s">
        <v>174</v>
      </c>
      <c r="O19" s="26" t="s">
        <v>253</v>
      </c>
      <c r="P19" s="26" t="s">
        <v>162</v>
      </c>
      <c r="Q19" s="26" t="s">
        <v>166</v>
      </c>
      <c r="R19" s="26" t="s">
        <v>171</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340</v>
      </c>
      <c r="BW19" s="162"/>
      <c r="BX19" s="162"/>
      <c r="BY19" s="162" t="s">
        <v>577</v>
      </c>
      <c r="BZ19" s="162"/>
      <c r="CA19" s="162"/>
      <c r="CB19" s="162"/>
      <c r="CC19" s="162"/>
      <c r="CD19" s="162"/>
      <c r="CE19" s="162"/>
      <c r="CF19" s="162"/>
      <c r="CG19" s="162"/>
      <c r="CH19" s="162"/>
      <c r="CI19" s="162" t="s">
        <v>563</v>
      </c>
      <c r="CJ19" s="162" t="s">
        <v>325</v>
      </c>
      <c r="CK19" s="162" t="s">
        <v>521</v>
      </c>
      <c r="CL19" s="162" t="s">
        <v>522</v>
      </c>
      <c r="CM19" s="162" t="s">
        <v>523</v>
      </c>
      <c r="CN19" s="162">
        <v>1262</v>
      </c>
      <c r="CO19" s="162">
        <v>700</v>
      </c>
      <c r="CP19" s="162">
        <v>1262</v>
      </c>
      <c r="CQ19" s="162" t="s">
        <v>807</v>
      </c>
      <c r="CR19" s="162"/>
      <c r="CS19" s="162"/>
      <c r="CT19" s="161"/>
      <c r="CU19" s="161"/>
      <c r="CV19" s="161" t="s">
        <v>347</v>
      </c>
      <c r="CW19" s="161" t="s">
        <v>374</v>
      </c>
      <c r="CX19" s="161" t="s">
        <v>380</v>
      </c>
      <c r="CY19" s="161" t="s">
        <v>489</v>
      </c>
      <c r="CZ19" s="161" t="s">
        <v>490</v>
      </c>
      <c r="DA19" s="161" t="s">
        <v>491</v>
      </c>
      <c r="DB19" s="152" t="s">
        <v>43</v>
      </c>
      <c r="DC19" s="328"/>
      <c r="DD19" s="161"/>
      <c r="DE19" s="334" t="s">
        <v>270</v>
      </c>
      <c r="DF19" s="334" t="s">
        <v>684</v>
      </c>
      <c r="DG19" s="487" t="s">
        <v>496</v>
      </c>
      <c r="DH19" s="162" t="s">
        <v>480</v>
      </c>
      <c r="DI19" s="162" t="s">
        <v>481</v>
      </c>
      <c r="DJ19" s="162" t="s">
        <v>482</v>
      </c>
      <c r="DK19" s="162"/>
      <c r="DL19" s="162"/>
      <c r="DM19" s="160"/>
      <c r="DN19" s="160"/>
      <c r="DO19" s="160"/>
      <c r="DP19" s="160"/>
      <c r="DQ19" s="160"/>
      <c r="DR19" s="160"/>
      <c r="DS19" s="160"/>
      <c r="DT19" s="160"/>
      <c r="DU19" s="160" t="s">
        <v>671</v>
      </c>
      <c r="DV19" s="160"/>
      <c r="DW19" s="160"/>
      <c r="DX19" s="160"/>
      <c r="DY19" s="160"/>
      <c r="DZ19" s="160"/>
      <c r="EA19" s="160"/>
      <c r="EB19" s="160"/>
      <c r="EC19" s="160"/>
      <c r="ED19" s="160"/>
      <c r="EE19" s="160"/>
      <c r="EF19" s="160"/>
      <c r="EG19" s="160"/>
      <c r="EH19" s="160"/>
      <c r="EI19" s="160"/>
      <c r="EJ19" s="160"/>
      <c r="EK19" s="160"/>
      <c r="EL19" s="160"/>
      <c r="EM19" s="160"/>
      <c r="EN19" s="160"/>
      <c r="EO19" s="1136" t="s">
        <v>826</v>
      </c>
      <c r="EP19" s="1136" t="s">
        <v>827</v>
      </c>
      <c r="EQ19" s="1136" t="s">
        <v>828</v>
      </c>
      <c r="ER19" s="1152">
        <v>875</v>
      </c>
      <c r="ES19" s="1147"/>
      <c r="ET19" s="1307"/>
      <c r="EU19" s="1307"/>
      <c r="EV19" s="487" t="s">
        <v>912</v>
      </c>
      <c r="EW19" s="160"/>
      <c r="EX19" s="160"/>
      <c r="EY19" s="160" t="s">
        <v>954</v>
      </c>
    </row>
    <row r="20" spans="1:155" ht="14.25" customHeight="1" thickBot="1">
      <c r="A20" s="76" t="s">
        <v>0</v>
      </c>
      <c r="B20" s="77" t="s">
        <v>442</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BO+S6nlBzCtjLt7WqtudMHVxoW8gU6Zg9+XnUECe2/CuS5/3AovGzyaSQGIPOhM0QZwiCb5DkErYAGG21CuMg==" saltValue="D5NMq8m+4M/W8mVnGmk1w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CADIZ  Resumenes por Partidos Judiciales  JEREZ DE LA FRONTERA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390</v>
      </c>
      <c r="B5" s="277"/>
      <c r="C5" s="1669"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731</v>
      </c>
      <c r="L5" s="1660" t="s">
        <v>622</v>
      </c>
      <c r="M5" s="1660" t="s">
        <v>590</v>
      </c>
      <c r="N5" s="1660" t="s">
        <v>732</v>
      </c>
      <c r="O5" s="1663" t="s">
        <v>648</v>
      </c>
      <c r="P5" s="1660" t="s">
        <v>750</v>
      </c>
      <c r="Q5" s="1660" t="s">
        <v>745</v>
      </c>
      <c r="R5" s="1660" t="s">
        <v>189</v>
      </c>
      <c r="S5" s="1666" t="s">
        <v>742</v>
      </c>
      <c r="T5" s="1666" t="s">
        <v>744</v>
      </c>
      <c r="U5" s="1660" t="s">
        <v>651</v>
      </c>
      <c r="V5" s="1666" t="s">
        <v>623</v>
      </c>
      <c r="W5" s="1660" t="s">
        <v>841</v>
      </c>
      <c r="X5" s="1660" t="s">
        <v>842</v>
      </c>
      <c r="Y5" s="1680" t="s">
        <v>733</v>
      </c>
      <c r="Z5" s="1677" t="s">
        <v>674</v>
      </c>
      <c r="AA5" s="1695" t="s">
        <v>624</v>
      </c>
      <c r="AB5" s="1677" t="s">
        <v>625</v>
      </c>
      <c r="AC5" s="1677" t="s">
        <v>626</v>
      </c>
      <c r="AD5" s="1698" t="s">
        <v>734</v>
      </c>
      <c r="AE5" s="1698" t="s">
        <v>869</v>
      </c>
      <c r="AF5" s="1660" t="s">
        <v>746</v>
      </c>
      <c r="AG5" s="1660" t="s">
        <v>591</v>
      </c>
      <c r="AH5" s="1660" t="s">
        <v>735</v>
      </c>
      <c r="AI5" s="1660" t="s">
        <v>200</v>
      </c>
      <c r="AJ5" s="1660" t="s">
        <v>800</v>
      </c>
      <c r="AK5" s="1660" t="s">
        <v>592</v>
      </c>
      <c r="AL5" s="1660" t="s">
        <v>593</v>
      </c>
      <c r="AM5" s="1660" t="s">
        <v>751</v>
      </c>
      <c r="AN5" s="1660" t="s">
        <v>594</v>
      </c>
      <c r="AO5" s="1660" t="s">
        <v>595</v>
      </c>
      <c r="AP5" s="1660" t="s">
        <v>596</v>
      </c>
      <c r="AQ5" s="1660" t="s">
        <v>597</v>
      </c>
      <c r="AR5" s="1660" t="s">
        <v>736</v>
      </c>
      <c r="AS5" s="1660" t="s">
        <v>203</v>
      </c>
      <c r="AT5" s="1683" t="s">
        <v>201</v>
      </c>
      <c r="AU5" s="1660" t="s">
        <v>747</v>
      </c>
      <c r="AV5" s="1686" t="s">
        <v>748</v>
      </c>
      <c r="AW5" s="1689" t="s">
        <v>599</v>
      </c>
      <c r="AX5" s="1660" t="s">
        <v>600</v>
      </c>
      <c r="AY5" s="1660" t="s">
        <v>672</v>
      </c>
      <c r="AZ5" s="1692" t="s">
        <v>673</v>
      </c>
      <c r="BA5" s="1660" t="s">
        <v>628</v>
      </c>
      <c r="BB5" s="1686" t="s">
        <v>629</v>
      </c>
      <c r="BC5" s="1689" t="s">
        <v>204</v>
      </c>
      <c r="BD5" s="1660" t="s">
        <v>630</v>
      </c>
      <c r="BE5" s="1660" t="s">
        <v>273</v>
      </c>
      <c r="BF5" s="1660" t="s">
        <v>274</v>
      </c>
      <c r="BG5" s="1660" t="s">
        <v>275</v>
      </c>
      <c r="BH5" s="1660" t="s">
        <v>631</v>
      </c>
      <c r="BI5" s="1660" t="s">
        <v>276</v>
      </c>
      <c r="BJ5" s="1660" t="s">
        <v>632</v>
      </c>
      <c r="BK5" s="1660" t="s">
        <v>646</v>
      </c>
      <c r="BL5" s="1660" t="s">
        <v>633</v>
      </c>
      <c r="BM5" s="1660" t="s">
        <v>634</v>
      </c>
      <c r="BN5" s="1660" t="s">
        <v>659</v>
      </c>
      <c r="BO5" s="1660" t="s">
        <v>652</v>
      </c>
      <c r="BP5" s="1660" t="s">
        <v>914</v>
      </c>
      <c r="BQ5" s="1660" t="s">
        <v>917</v>
      </c>
      <c r="BR5" s="1660" t="s">
        <v>919</v>
      </c>
      <c r="BS5" s="1660" t="s">
        <v>653</v>
      </c>
      <c r="BT5" s="1660" t="s">
        <v>635</v>
      </c>
      <c r="BU5" s="1660" t="s">
        <v>598</v>
      </c>
      <c r="BV5" s="1674" t="s">
        <v>843</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7</v>
      </c>
      <c r="B9" s="653" t="s">
        <v>272</v>
      </c>
      <c r="C9" s="671" t="str">
        <f>Datos!A9</f>
        <v xml:space="preserve">Jdos. 1ª Instancia   </v>
      </c>
      <c r="D9" s="544"/>
      <c r="E9" s="670">
        <f>IF(ISNUMBER(Datos!AQ9),Datos!AQ9," - ")</f>
        <v>7</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f>IF(ISNUMBER(Datos!Z9),Datos!Z9," - ")</f>
        <v>154</v>
      </c>
      <c r="O9" s="504"/>
      <c r="P9" s="504"/>
      <c r="Q9" s="502">
        <f>IF(ISNUMBER(Datos!P9),Datos!P9,0)</f>
        <v>1095</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f>IF(ISNUMBER(Datos!Q9),Datos!Q9," - ")</f>
        <v>1065</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f>IF(ISNUMBER(Datos!AB9),Datos!AB9,"-")</f>
        <v>193</v>
      </c>
      <c r="AI9" s="504" t="str">
        <f>IF(ISNUMBER(Datos!CD9),Datos!CD9,"-")</f>
        <v>-</v>
      </c>
      <c r="AJ9" s="504" t="str">
        <f>IF(ISNUMBER(Datos!EN9),Datos!EN9," - ")</f>
        <v xml:space="preserve"> - </v>
      </c>
      <c r="AK9" s="504"/>
      <c r="AL9" s="505"/>
      <c r="AM9" s="672">
        <f>IF(ISNUMBER(Datos!R9),Datos!R9," - ")</f>
        <v>10516</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f>IF(ISNUMBER(Datos!M9),Datos!M9," - ")</f>
        <v>573</v>
      </c>
      <c r="BD9" s="620">
        <f>IF(ISNUMBER(Datos!N9),Datos!N9," - ")</f>
        <v>935</v>
      </c>
      <c r="BE9" s="620" t="str">
        <f>IF(ISNUMBER(Datos!BW9),Datos!BW9," - ")</f>
        <v xml:space="preserve"> - </v>
      </c>
      <c r="BF9" s="668" t="str">
        <f>IF(ISNUMBER(Datos!BX9),Datos!BX9," - ")</f>
        <v xml:space="preserve"> - </v>
      </c>
      <c r="BG9" s="669">
        <f>IF(ISNUMBER(IF(J_V="SI",Datos!K9/Datos!J9,(Datos!K9+Datos!AA9)/(Datos!J9+Datos!Z9))),IF(J_V="SI",Datos!K9/Datos!J9,(Datos!K9+Datos!AA9)/(Datos!J9+Datos!Z9))," - ")</f>
        <v>0.84743630072349796</v>
      </c>
      <c r="BH9" s="670">
        <f>IF(ISNUMBER(((IF(J_V="SI",Datos!L9/Datos!K9,(Datos!L9+Datos!AB9)/(Datos!K9+Datos!AA9)))*11)/factor_trimestre),((IF(J_V="SI",Datos!L9/Datos!K9,(Datos!L9+Datos!AB9)/(Datos!K9+Datos!AA9)))*11)/factor_trimestre," - ")</f>
        <v>7.1881959910913151</v>
      </c>
      <c r="BI9" s="669"/>
      <c r="BJ9" s="510" t="str">
        <f>IF(ISNUMBER(Datos!CI9/Datos!CJ9),Datos!CI9/Datos!CJ9," - ")</f>
        <v xml:space="preserve"> - </v>
      </c>
      <c r="BK9" s="656" t="str">
        <f>IF(ISNUMBER(Datos!CJ9),Datos!CJ9," - ")</f>
        <v xml:space="preserve"> - </v>
      </c>
      <c r="BL9" s="510" t="str">
        <f>IF(ISNUMBER((J9-AB9+L9)/(F9)),(J9-AB9+L9)/(F9)," - ")</f>
        <v xml:space="preserve"> - </v>
      </c>
      <c r="BM9" s="673">
        <f>IF(ISNUMBER((Datos!P9-Datos!Q9+Datos!DE9)/(Datos!R9-Datos!P9+Datos!Q9-Datos!DE9)),(Datos!P9-Datos!Q9+Datos!DE9)/(Datos!R9-Datos!P9+Datos!Q9-Datos!DE9)," - ")</f>
        <v>2.8609574670989892E-3</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272</v>
      </c>
      <c r="C10" s="655" t="str">
        <f>Datos!A10</f>
        <v>Jdos. Violencia contra la mujer</v>
      </c>
      <c r="D10" s="549"/>
      <c r="E10" s="670">
        <f>IF(ISNUMBER(Datos!AQ10),Datos!AQ10," - ")</f>
        <v>1</v>
      </c>
      <c r="F10" s="507">
        <f>IF(ISNUMBER(Datos!L10+Datos!K10-Datos!J10),Datos!L10+Datos!K10-Datos!J10," - ")</f>
        <v>131</v>
      </c>
      <c r="G10" s="498">
        <f>IF(ISNUMBER(Datos!I10),Datos!I10," - ")</f>
        <v>134</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21</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59</v>
      </c>
      <c r="AC10" s="502">
        <f>IF(ISNUMBER(Datos!Q10),Datos!Q10," - ")</f>
        <v>30</v>
      </c>
      <c r="AD10" s="504"/>
      <c r="AE10" s="517"/>
      <c r="AF10" s="506">
        <f>IF(ISNUMBER(Datos!L10),Datos!L10,"-")</f>
        <v>136</v>
      </c>
      <c r="AG10" s="504"/>
      <c r="AH10" s="504"/>
      <c r="AI10" s="504"/>
      <c r="AJ10" s="504"/>
      <c r="AK10" s="504"/>
      <c r="AL10" s="505"/>
      <c r="AM10" s="672">
        <f>IF(ISNUMBER(Datos!R10),Datos!R10," - ")</f>
        <v>146</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27</v>
      </c>
      <c r="BD10" s="620">
        <f>IF(ISNUMBER(Datos!N10),Datos!N10," - ")</f>
        <v>21</v>
      </c>
      <c r="BE10" s="620" t="str">
        <f>IF(ISNUMBER(Datos!BW10),Datos!BW10," - ")</f>
        <v xml:space="preserve"> - </v>
      </c>
      <c r="BF10" s="668" t="str">
        <f>IF(ISNUMBER(Datos!BX10),Datos!BX10," - ")</f>
        <v xml:space="preserve"> - </v>
      </c>
      <c r="BG10" s="669">
        <f>IF(ISNUMBER(Datos!K10/Datos!J10),Datos!K10/Datos!J10," - ")</f>
        <v>0.921875</v>
      </c>
      <c r="BH10" s="670">
        <f>IF(ISNUMBER(((Datos!L10/Datos!K10)*11)/factor_trimestre),((Datos!L10/Datos!K10)*11)/factor_trimestre," - ")</f>
        <v>6.9152542372881358</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-5.8064516129032261E-2</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1</v>
      </c>
      <c r="B11" s="654" t="s">
        <v>272</v>
      </c>
      <c r="C11" s="655" t="str">
        <f>Datos!A11</f>
        <v xml:space="preserve">Jdos. Familia                                   </v>
      </c>
      <c r="D11" s="549"/>
      <c r="E11" s="670">
        <f>IF(ISNUMBER(Datos!AQ11),Datos!AQ11," - ")</f>
        <v>1</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f>IF(ISNUMBER(Datos!Z11),Datos!Z11," - ")</f>
        <v>125</v>
      </c>
      <c r="O11" s="504"/>
      <c r="P11" s="504"/>
      <c r="Q11" s="502">
        <f>IF(ISNUMBER(Datos!P11),Datos!P11,0)</f>
        <v>34</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f>IF(ISNUMBER(Datos!Q11),Datos!Q11," - ")</f>
        <v>58</v>
      </c>
      <c r="AD11" s="504"/>
      <c r="AE11" s="517"/>
      <c r="AF11" s="506" t="str">
        <f>IF(ISNUMBER(IF(J_V="SI",Datos!L11,Datos!L11+Datos!AB11)-IF(Monitorios="SI",Datos!CD11,0)),
                          IF(J_V="SI",Datos!L11,Datos!L11+Datos!AB11)-IF(Monitorios="SI",Datos!CD11,0),
                          " - ")</f>
        <v xml:space="preserve"> - </v>
      </c>
      <c r="AG11" s="504"/>
      <c r="AH11" s="504">
        <f>IF(ISNUMBER(Datos!AB11),Datos!AB11,"-")</f>
        <v>121</v>
      </c>
      <c r="AI11" s="504"/>
      <c r="AJ11" s="504"/>
      <c r="AK11" s="504"/>
      <c r="AL11" s="505"/>
      <c r="AM11" s="672">
        <f>IF(ISNUMBER(Datos!R11),Datos!R11," - ")</f>
        <v>701</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f>IF(ISNUMBER(Datos!M11),Datos!M11," - ")</f>
        <v>115</v>
      </c>
      <c r="BD11" s="620">
        <f>IF(ISNUMBER(Datos!N11),Datos!N11," - ")</f>
        <v>305</v>
      </c>
      <c r="BE11" s="620" t="str">
        <f>IF(ISNUMBER(Datos!BW11),Datos!BW11," - ")</f>
        <v xml:space="preserve"> - </v>
      </c>
      <c r="BF11" s="668" t="str">
        <f>IF(ISNUMBER(Datos!BX11),Datos!BX11," - ")</f>
        <v xml:space="preserve"> - </v>
      </c>
      <c r="BG11" s="669">
        <f>IF(ISNUMBER(IF(J_V="SI",Datos!K11/Datos!J11,(Datos!K11+Datos!AA11)/(Datos!J11+Datos!Z11))),IF(J_V="SI",Datos!K11/Datos!J11,(Datos!K11+Datos!AA11)/(Datos!J11+Datos!Z11))," - ")</f>
        <v>1.28023598820059</v>
      </c>
      <c r="BH11" s="670">
        <f>IF(ISNUMBER(((IF(J_V="SI",Datos!L11/Datos!K11,(Datos!L11+Datos!AB11)/(Datos!K11+Datos!AA11)))*11)/factor_trimestre),((IF(J_V="SI",Datos!L11/Datos!K11,(Datos!L11+Datos!AB11)/(Datos!K11+Datos!AA11)))*11)/factor_trimestre," - ")</f>
        <v>6.9677419354838719</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f>IF(ISNUMBER((Datos!P11-Datos!Q11+Datos!DE11)/(Datos!R11-Datos!P11+Datos!Q11-Datos!DE11)),(Datos!P11-Datos!Q11+Datos!DE11)/(Datos!R11-Datos!P11+Datos!Q11-Datos!DE11)," - ")</f>
        <v>-3.310344827586207E-2</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0</v>
      </c>
      <c r="B12" s="654" t="s">
        <v>272</v>
      </c>
      <c r="C12" s="655" t="str">
        <f>Datos!A12</f>
        <v xml:space="preserve">Jdos. 1ª Instª. e Instr.                        </v>
      </c>
      <c r="D12" s="549"/>
      <c r="E12" s="670">
        <f>IF(ISNUMBER(Datos!AQ12),Datos!AQ12," - ")</f>
        <v>0</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t="str">
        <f>IF(ISNUMBER(Datos!Z12),Datos!Z12," - ")</f>
        <v xml:space="preserve"> - </v>
      </c>
      <c r="O12" s="504"/>
      <c r="P12" s="504"/>
      <c r="Q12" s="502">
        <f>IF(ISNUMBER(Datos!P12),Datos!P12,0)</f>
        <v>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t="str">
        <f>IF(ISNUMBER(Datos!Q12),Datos!Q12," - ")</f>
        <v xml:space="preserve"> - </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t="str">
        <f>IF(ISNUMBER(Datos!AB12),Datos!AB12,"-")</f>
        <v>-</v>
      </c>
      <c r="AI12" s="504" t="str">
        <f>IF(ISNUMBER(Datos!CD12),Datos!CD12,"-")</f>
        <v>-</v>
      </c>
      <c r="AJ12" s="504" t="str">
        <f>IF(ISNUMBER(Datos!EN12),Datos!EN12," - ")</f>
        <v xml:space="preserve"> - </v>
      </c>
      <c r="AK12" s="504"/>
      <c r="AL12" s="505"/>
      <c r="AM12" s="672" t="str">
        <f>IF(ISNUMBER(Datos!R12),Datos!R12," - ")</f>
        <v xml:space="preserve"> - </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t="str">
        <f>IF(ISNUMBER(Datos!M12),Datos!M12," - ")</f>
        <v xml:space="preserve"> - </v>
      </c>
      <c r="BD12" s="620" t="str">
        <f>IF(ISNUMBER(Datos!N12),Datos!N12," - ")</f>
        <v xml:space="preserve"> - </v>
      </c>
      <c r="BE12" s="620" t="str">
        <f>IF(ISNUMBER(Datos!BW12),Datos!BW12," - ")</f>
        <v xml:space="preserve"> - </v>
      </c>
      <c r="BF12" s="668" t="str">
        <f>IF(ISNUMBER(Datos!BX12),Datos!BX12," - ")</f>
        <v xml:space="preserve"> - </v>
      </c>
      <c r="BG12" s="669" t="str">
        <f>IF(ISNUMBER(IF(J_V="SI",Datos!K12/Datos!J12,(Datos!K12+Datos!AA12)/(Datos!J12+Datos!Z12))),IF(J_V="SI",Datos!K12/Datos!J12,(Datos!K12+Datos!AA12)/(Datos!J12+Datos!Z12))," - ")</f>
        <v xml:space="preserve"> - </v>
      </c>
      <c r="BH12" s="670" t="str">
        <f>IF(ISNUMBER(((IF(J_V="SI",Datos!L12/Datos!K12,(Datos!L12+Datos!AB12)/(Datos!K12+Datos!AA12)))*11)/factor_trimestre),((IF(J_V="SI",Datos!L12/Datos!K12,(Datos!L12+Datos!AB12)/(Datos!K12+Datos!AA12)))*11)/factor_trimestre," - ")</f>
        <v xml:space="preserve"> - </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t="str">
        <f>IF(ISNUMBER((Datos!P12-Datos!Q12+Datos!DE12)/(Datos!R12-Datos!P12+Datos!Q12-Datos!DE12)),(Datos!P12-Datos!Q12+Datos!DE12)/(Datos!R12-Datos!P12+Datos!Q12-Datos!DE12)," - ")</f>
        <v xml:space="preserve"> - </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1</v>
      </c>
      <c r="B13" s="654" t="s">
        <v>272</v>
      </c>
      <c r="C13" s="655" t="str">
        <f>Datos!A13</f>
        <v xml:space="preserve">Jdos. de Menores    </v>
      </c>
      <c r="D13" s="549"/>
      <c r="E13" s="670">
        <f>IF(ISNUMBER(Datos!AQ13),Datos!AQ13," - ")</f>
        <v>1</v>
      </c>
      <c r="F13" s="507">
        <f>IF(ISNUMBER(Datos!L13+Datos!K13-Datos!J13-L13),Datos!L13+Datos!K13-Datos!J13-L13," - ")</f>
        <v>0</v>
      </c>
      <c r="G13" s="498">
        <f>IF(ISNUMBER(Datos!I13),Datos!I13," - ")</f>
        <v>0</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f>IF(ISNUMBER(Datos!K13),Datos!K13," - ")</f>
        <v>0</v>
      </c>
      <c r="AC13" s="502">
        <f>IF(ISNUMBER(Datos!Q13),Datos!Q13," - ")</f>
        <v>0</v>
      </c>
      <c r="AD13" s="504"/>
      <c r="AE13" s="517"/>
      <c r="AF13" s="506">
        <f>IF(ISNUMBER(Datos!L13),Datos!L13,"-")</f>
        <v>0</v>
      </c>
      <c r="AG13" s="504"/>
      <c r="AH13" s="504"/>
      <c r="AI13" s="504"/>
      <c r="AJ13" s="504"/>
      <c r="AK13" s="504"/>
      <c r="AL13" s="505"/>
      <c r="AM13" s="672">
        <f>IF(ISNUMBER(Datos!R13),Datos!R13," - ")</f>
        <v>0</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f>IF(ISNUMBER(Datos!M13),Datos!M13," - ")</f>
        <v>0</v>
      </c>
      <c r="BD13" s="620">
        <f>IF(ISNUMBER(Datos!N13),Datos!N13," - ")</f>
        <v>0</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10</v>
      </c>
      <c r="F14" s="1045">
        <f t="shared" si="1"/>
        <v>131</v>
      </c>
      <c r="G14" s="1045">
        <f t="shared" si="1"/>
        <v>134</v>
      </c>
      <c r="H14" s="1046">
        <f t="shared" si="1"/>
        <v>0</v>
      </c>
      <c r="I14" s="1045">
        <f t="shared" si="1"/>
        <v>0</v>
      </c>
      <c r="J14" s="1014">
        <f t="shared" si="1"/>
        <v>0</v>
      </c>
      <c r="K14" s="1014">
        <f t="shared" si="1"/>
        <v>0</v>
      </c>
      <c r="L14" s="1046">
        <f t="shared" si="1"/>
        <v>0</v>
      </c>
      <c r="M14" s="1046">
        <f t="shared" si="1"/>
        <v>0</v>
      </c>
      <c r="N14" s="1046">
        <f t="shared" si="1"/>
        <v>279</v>
      </c>
      <c r="O14" s="1047">
        <f t="shared" si="1"/>
        <v>0</v>
      </c>
      <c r="P14" s="1047">
        <f t="shared" si="1"/>
        <v>0</v>
      </c>
      <c r="Q14" s="1046">
        <f t="shared" si="1"/>
        <v>1150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59</v>
      </c>
      <c r="AC14" s="1046">
        <f t="shared" si="2"/>
        <v>1153</v>
      </c>
      <c r="AD14" s="1046">
        <f t="shared" si="2"/>
        <v>0</v>
      </c>
      <c r="AE14" s="1046">
        <f t="shared" si="2"/>
        <v>0</v>
      </c>
      <c r="AF14" s="1046">
        <f t="shared" si="2"/>
        <v>136</v>
      </c>
      <c r="AG14" s="1046">
        <f t="shared" si="2"/>
        <v>0</v>
      </c>
      <c r="AH14" s="1046">
        <f t="shared" si="2"/>
        <v>314</v>
      </c>
      <c r="AI14" s="1046">
        <f t="shared" si="2"/>
        <v>0</v>
      </c>
      <c r="AJ14" s="1046">
        <f t="shared" si="2"/>
        <v>0</v>
      </c>
      <c r="AK14" s="1046">
        <f t="shared" si="2"/>
        <v>0</v>
      </c>
      <c r="AL14" s="1046">
        <f t="shared" si="2"/>
        <v>0</v>
      </c>
      <c r="AM14" s="1046">
        <f t="shared" si="2"/>
        <v>11363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715</v>
      </c>
      <c r="BD14" s="1046">
        <f t="shared" si="2"/>
        <v>1261</v>
      </c>
      <c r="BE14" s="1046">
        <f t="shared" si="2"/>
        <v>0</v>
      </c>
      <c r="BF14" s="1046">
        <f t="shared" si="2"/>
        <v>0</v>
      </c>
      <c r="BG14" s="1046">
        <f>IF(ISNUMBER(Datos!K14/Datos!J14),Datos!K14/Datos!J14," - ")</f>
        <v>0.8828337874659401</v>
      </c>
      <c r="BH14" s="1050">
        <f>IF(ISNUMBER(((Datos!L14/Datos!K14)*11)/factor_trimestre),((Datos!L14/Datos!K14)*11)/factor_trimestre," - ")</f>
        <v>7.4948559670781902</v>
      </c>
      <c r="BI14" s="1046">
        <f>IF(ISNUMBER('Resol  Asuntos'!D14/NºAsuntos!G14),'Resol  Asuntos'!D14/NºAsuntos!G14," - ")</f>
        <v>0.22434891747725133</v>
      </c>
      <c r="BJ14" s="1046" t="str">
        <f>IF(ISNUMBER(Datos!CI14/Datos!CJ14),Datos!CI14/Datos!CJ14," - ")</f>
        <v xml:space="preserve"> - </v>
      </c>
      <c r="BK14" s="1046">
        <f>SUBTOTAL(9,BK8:BK13)</f>
        <v>0</v>
      </c>
      <c r="BL14" s="1046">
        <f>IF(ISNUMBER((I14-AB14+L14)/(F14)),(I14-AB14+L14)/(F14)," - ")</f>
        <v>-0.45038167938931295</v>
      </c>
      <c r="BM14" s="1051">
        <f>SUBTOTAL(9,BM9:BM13)</f>
        <v>-8.8307006937795335E-2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5</v>
      </c>
      <c r="B16" s="647" t="s">
        <v>436</v>
      </c>
      <c r="C16" s="657" t="str">
        <f>Datos!A16</f>
        <v xml:space="preserve">Jdos. Instrucción                               </v>
      </c>
      <c r="D16" s="658"/>
      <c r="E16" s="1334">
        <f>IF(ISNUMBER(Datos!AQ16),Datos!AQ16," - ")</f>
        <v>5</v>
      </c>
      <c r="F16" s="648">
        <f>IF(ISNUMBER(AF16+AB16-Datos!J16-L16),AF16+AB16-Datos!J16-L16," - ")</f>
        <v>1845</v>
      </c>
      <c r="G16" s="651">
        <f>IF(ISNUMBER(IF(D_I="SI",Datos!I16,Datos!I16+Datos!AC16)),IF(D_I="SI",Datos!I16,Datos!I16+Datos!AC16)," - ")</f>
        <v>1832</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140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f>IF(ISNUMBER(IF(D_I="SI",Datos!K16,Datos!K16+Datos!AE16)),IF(D_I="SI",Datos!K16,Datos!K16+Datos!AE16)," - ")</f>
        <v>1923</v>
      </c>
      <c r="AC16" s="231">
        <f>IF(ISNUMBER(Datos!Q16),Datos!Q16," - ")</f>
        <v>154</v>
      </c>
      <c r="AD16" s="344"/>
      <c r="AE16" s="516"/>
      <c r="AF16" s="649">
        <f>IF(ISNUMBER(IF(D_I="SI",Datos!L16,Datos!L16+Datos!AF16)),IF(D_I="SI",Datos!L16,Datos!L16+Datos!AF16)," - ")</f>
        <v>2157</v>
      </c>
      <c r="AG16" s="344"/>
      <c r="AH16" s="344"/>
      <c r="AI16" s="344"/>
      <c r="AJ16" s="504"/>
      <c r="AK16" s="344"/>
      <c r="AL16" s="500"/>
      <c r="AM16" s="345">
        <f>IF(ISNUMBER(Datos!R16),Datos!R16," - ")</f>
        <v>417</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f>IF(ISNUMBER(Datos!M16),Datos!M16," - ")</f>
        <v>365</v>
      </c>
      <c r="BD16" s="234">
        <f>IF(ISNUMBER(Datos!N16),Datos!N16," - ")</f>
        <v>1000</v>
      </c>
      <c r="BE16" s="234" t="str">
        <f>IF(ISNUMBER(Datos!BW16),Datos!BW16," - ")</f>
        <v xml:space="preserve"> - </v>
      </c>
      <c r="BF16" s="233" t="str">
        <f>IF(ISNUMBER(Datos!BX16),Datos!BX16," - ")</f>
        <v xml:space="preserve"> - </v>
      </c>
      <c r="BG16" s="669">
        <f>IF(ISNUMBER(IF(D_I="SI",Datos!K16/Datos!J16,(Datos!K16+Datos!AE16)/(Datos!J16+Datos!AD16))),IF(D_I="SI",Datos!K16/Datos!J16,(Datos!K16+Datos!AE16)/(Datos!J16+Datos!AD16))," - ")</f>
        <v>0.86040268456375835</v>
      </c>
      <c r="BH16" s="670">
        <f>IF(ISNUMBER(((IF(D_I="SI",Datos!L16/Datos!K16,(Datos!L16+Datos!AF16)/(Datos!K16+Datos!AE16)))*11)/factor_trimestre),((IF(D_I="SI",Datos!L16/Datos!K16,(Datos!L16+Datos!AF16)/(Datos!K16+Datos!AE16)))*11)/factor_trimestre," - ")</f>
        <v>3.3650546021840877</v>
      </c>
      <c r="BI16" s="248">
        <f>IF(ISNUMBER('Resol  Asuntos'!D16/NºAsuntos!G16),'Resol  Asuntos'!D16/NºAsuntos!G16," - ")</f>
        <v>0.18980759230369215</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0</v>
      </c>
      <c r="B17" s="647" t="s">
        <v>436</v>
      </c>
      <c r="C17" s="657" t="str">
        <f>Datos!A17</f>
        <v xml:space="preserve">Jdos. 1ª Instª. e Instr.                        </v>
      </c>
      <c r="D17" s="658"/>
      <c r="E17" s="1334">
        <f>IF(ISNUMBER(Datos!AQ17),Datos!AQ17," - ")</f>
        <v>0</v>
      </c>
      <c r="F17" s="648" t="str">
        <f>IF(ISNUMBER(AF17+AB17-Datos!J17-L17),AF17+AB17-Datos!J17-L17," - ")</f>
        <v xml:space="preserve"> - </v>
      </c>
      <c r="G17" s="651" t="str">
        <f>IF(ISNUMBER(IF(D_I="SI",Datos!I17,Datos!I17+Datos!AC17)),IF(D_I="SI",Datos!I17,Datos!I17+Datos!AC17)," - ")</f>
        <v xml:space="preserve"> - </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0</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t="str">
        <f>IF(ISNUMBER(IF(D_I="SI",Datos!K17,Datos!K17+Datos!AE17)),IF(D_I="SI",Datos!K17,Datos!K17+Datos!AE17)," - ")</f>
        <v xml:space="preserve"> - </v>
      </c>
      <c r="AC17" s="231" t="str">
        <f>IF(ISNUMBER(Datos!Q17),Datos!Q17," - ")</f>
        <v xml:space="preserve"> - </v>
      </c>
      <c r="AD17" s="344"/>
      <c r="AE17" s="516"/>
      <c r="AF17" s="649" t="str">
        <f>IF(ISNUMBER(IF(D_I="SI",Datos!L17,Datos!L17+Datos!AF17)),IF(D_I="SI",Datos!L17,Datos!L17+Datos!AF17)," - ")</f>
        <v xml:space="preserve"> - </v>
      </c>
      <c r="AG17" s="344"/>
      <c r="AH17" s="344"/>
      <c r="AI17" s="344"/>
      <c r="AJ17" s="504"/>
      <c r="AK17" s="344"/>
      <c r="AL17" s="500"/>
      <c r="AM17" s="345" t="str">
        <f>IF(ISNUMBER(Datos!R17),Datos!R17," - ")</f>
        <v xml:space="preserve"> - </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t="str">
        <f>IF(ISNUMBER(Datos!M17),Datos!M17," - ")</f>
        <v xml:space="preserve"> - </v>
      </c>
      <c r="BD17" s="234" t="str">
        <f>IF(ISNUMBER(Datos!N17),Datos!N17," - ")</f>
        <v xml:space="preserve"> - </v>
      </c>
      <c r="BE17" s="234" t="str">
        <f>IF(ISNUMBER(Datos!BW17),Datos!BW17," - ")</f>
        <v xml:space="preserve"> - </v>
      </c>
      <c r="BF17" s="233" t="str">
        <f>IF(ISNUMBER(Datos!BX17),Datos!BX17," - ")</f>
        <v xml:space="preserve"> - </v>
      </c>
      <c r="BG17" s="669" t="str">
        <f>IF(ISNUMBER(IF(D_I="SI",Datos!K17/Datos!J17,(Datos!K17+Datos!AE17)/(Datos!J17+Datos!AD17))),IF(D_I="SI",Datos!K17/Datos!J17,(Datos!K17+Datos!AE17)/(Datos!J17+Datos!AD17))," - ")</f>
        <v xml:space="preserve"> - </v>
      </c>
      <c r="BH17" s="670" t="str">
        <f>IF(ISNUMBER(((IF(D_I="SI",Datos!L17/Datos!K17,(Datos!L17+Datos!AF17)/(Datos!K17+Datos!AE17)))*11)/factor_trimestre),((IF(D_I="SI",Datos!L17/Datos!K17,(Datos!L17+Datos!AF17)/(Datos!K17+Datos!AE17)))*11)/factor_trimestre," - ")</f>
        <v xml:space="preserve"> - </v>
      </c>
      <c r="BI17" s="248" t="str">
        <f>IF(ISNUMBER('Resol  Asuntos'!D17/NºAsuntos!G17),'Resol  Asuntos'!D17/NºAsuntos!G17," - ")</f>
        <v xml:space="preserve"> - </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436</v>
      </c>
      <c r="C18" s="655" t="str">
        <f>Datos!A18</f>
        <v>Jdos. Violencia contra la mujer</v>
      </c>
      <c r="D18" s="549"/>
      <c r="E18" s="1183">
        <f>IF(ISNUMBER(Datos!AQ18),Datos!AQ18," - ")</f>
        <v>1</v>
      </c>
      <c r="F18" s="507" t="str">
        <f>IF(ISNUMBER(AF18+AB18-I18-L18),AF18+AB18-I18-L18," - ")</f>
        <v xml:space="preserve"> - </v>
      </c>
      <c r="G18" s="498">
        <f>IF(ISNUMBER(IF(D_I="SI",Datos!I18,Datos!I18+Datos!AC18)),IF(D_I="SI",Datos!I18,Datos!I18+Datos!AC18)," - ")</f>
        <v>276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346</v>
      </c>
      <c r="AC18" s="502">
        <f>IF(ISNUMBER(Datos!Q18),Datos!Q18," - ")</f>
        <v>3</v>
      </c>
      <c r="AD18" s="504"/>
      <c r="AE18" s="516"/>
      <c r="AF18" s="506">
        <f>IF(ISNUMBER(Datos!L18),Datos!L18,"-")</f>
        <v>282</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18</v>
      </c>
      <c r="BD18" s="620">
        <f>IF(ISNUMBER(Datos!N18),Datos!N18," - ")</f>
        <v>194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0.98295454545454541</v>
      </c>
      <c r="BH18" s="670">
        <f>IF(ISNUMBER(((IF(D_I="SI",Datos!L18/Datos!K18,(Datos!L18+Datos!AF18)/(Datos!K18+Datos!AE18)))*11)/factor_trimestre),((IF(D_I="SI",Datos!L18/Datos!K18,(Datos!L18+Datos!AF18)/(Datos!K18+Datos!AE18)))*11)/factor_trimestre," - ")</f>
        <v>2.445086705202312</v>
      </c>
      <c r="BI18" s="669">
        <f>IF(ISNUMBER('Resol  Asuntos'!D18/NºAsuntos!G18),'Resol  Asuntos'!D18/NºAsuntos!G18," - ")</f>
        <v>5.2023121387283239E-2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1</v>
      </c>
      <c r="B19" s="654" t="s">
        <v>436</v>
      </c>
      <c r="C19" s="655" t="str">
        <f>Datos!A19</f>
        <v xml:space="preserve">Jdos. de Menores                                </v>
      </c>
      <c r="D19" s="549"/>
      <c r="E19" s="1183">
        <f>IF(ISNUMBER(Datos!AQ19),Datos!AQ19," - ")</f>
        <v>1</v>
      </c>
      <c r="F19" s="507">
        <f>IF(ISNUMBER(Datos!L19+Datos!K19-Datos!J19),Datos!L19+Datos!K19-Datos!J19," - ")</f>
        <v>110</v>
      </c>
      <c r="G19" s="498">
        <f>IF(ISNUMBER(Datos!I19),Datos!I19," - ")</f>
        <v>110</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63</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f>IF(ISNUMBER(Datos!K19),Datos!K19," - ")</f>
        <v>82</v>
      </c>
      <c r="AC19" s="502">
        <f>IF(ISNUMBER(Datos!Q19),Datos!Q19," - ")</f>
        <v>67</v>
      </c>
      <c r="AD19" s="504"/>
      <c r="AE19" s="517"/>
      <c r="AF19" s="506">
        <f>IF(ISNUMBER(Datos!L19),Datos!L19,"-")</f>
        <v>89</v>
      </c>
      <c r="AG19" s="504"/>
      <c r="AH19" s="504"/>
      <c r="AI19" s="504"/>
      <c r="AJ19" s="504"/>
      <c r="AK19" s="504"/>
      <c r="AL19" s="505"/>
      <c r="AM19" s="672">
        <f>IF(ISNUMBER(Datos!R19),Datos!R19," - ")</f>
        <v>148</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f>IF(ISNUMBER(Datos!M19),Datos!M19," - ")</f>
        <v>63</v>
      </c>
      <c r="BD19" s="620"/>
      <c r="BE19" s="620"/>
      <c r="BF19" s="668"/>
      <c r="BG19" s="669">
        <f>IF(ISNUMBER(Datos!K19/Datos!J19),Datos!K19/Datos!J19," - ")</f>
        <v>1.3442622950819672</v>
      </c>
      <c r="BH19" s="670">
        <f>IF(ISNUMBER(((Datos!L19/Datos!K19)*11)/factor_trimestre),((Datos!L19/Datos!K19)*11)/factor_trimestre," - ")</f>
        <v>3.25609756097561</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7</v>
      </c>
      <c r="F20" s="1045">
        <f>SUBTOTAL(9,F16:F19)</f>
        <v>1955</v>
      </c>
      <c r="G20" s="1045">
        <f>SUBTOTAL(9,G16:G19)</f>
        <v>2218</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204</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2351</v>
      </c>
      <c r="AC20" s="1046">
        <f t="shared" si="5"/>
        <v>224</v>
      </c>
      <c r="AD20" s="1046">
        <f t="shared" si="5"/>
        <v>0</v>
      </c>
      <c r="AE20" s="1046">
        <f t="shared" si="5"/>
        <v>0</v>
      </c>
      <c r="AF20" s="1046">
        <f t="shared" si="5"/>
        <v>2528</v>
      </c>
      <c r="AG20" s="1046">
        <f t="shared" si="5"/>
        <v>0</v>
      </c>
      <c r="AH20" s="1046">
        <f t="shared" si="5"/>
        <v>0</v>
      </c>
      <c r="AI20" s="1046">
        <f t="shared" si="5"/>
        <v>0</v>
      </c>
      <c r="AJ20" s="1046">
        <f t="shared" si="5"/>
        <v>0</v>
      </c>
      <c r="AK20" s="1046">
        <f t="shared" si="5"/>
        <v>0</v>
      </c>
      <c r="AL20" s="1046">
        <f t="shared" si="5"/>
        <v>0</v>
      </c>
      <c r="AM20" s="1046">
        <f t="shared" si="5"/>
        <v>573</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446</v>
      </c>
      <c r="BD20" s="1046">
        <f t="shared" si="5"/>
        <v>1194</v>
      </c>
      <c r="BE20" s="1046">
        <f t="shared" si="5"/>
        <v>0</v>
      </c>
      <c r="BF20" s="1046">
        <f t="shared" si="5"/>
        <v>0</v>
      </c>
      <c r="BG20" s="1046">
        <f>IF(ISNUMBER(Datos!K20/Datos!J20),Datos!K20/Datos!J20," - ")</f>
        <v>0.88783987915407858</v>
      </c>
      <c r="BH20" s="1050">
        <f>IF(ISNUMBER(((Datos!L20/Datos!K20)*11)/factor_trimestre),((Datos!L20/Datos!K20)*11)/factor_trimestre," - ")</f>
        <v>3.2258613356018717</v>
      </c>
      <c r="BI20" s="1046">
        <f>SUBTOTAL(9,BI16:BI19)</f>
        <v>0.24183071369097539</v>
      </c>
      <c r="BJ20" s="1046">
        <f>SUBTOTAL(9,BJ16:BJ19)</f>
        <v>0</v>
      </c>
      <c r="BK20" s="1046">
        <f>SUBTOTAL(9,BK16:BK19)</f>
        <v>0</v>
      </c>
      <c r="BL20" s="1046">
        <f>IF(ISNUMBER((I20-AB20+L20)/(F20)),(I20-AB20+L20)/(F20)," - ")</f>
        <v>-1.2025575447570334</v>
      </c>
      <c r="BM20" s="1052">
        <f>IF(ISNUMBER((Datos!P20-Datos!Q20)/(Datos!R20-Datos!P20+Datos!Q20)),(Datos!P20-Datos!Q20)/(Datos!R20-Datos!P20+Datos!Q20)," - ")</f>
        <v>-3.3726812816188868E-2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17</v>
      </c>
      <c r="F21" s="967">
        <f t="shared" si="7"/>
        <v>2086</v>
      </c>
      <c r="G21" s="967">
        <f t="shared" si="7"/>
        <v>2352</v>
      </c>
      <c r="H21" s="969">
        <f t="shared" si="7"/>
        <v>0</v>
      </c>
      <c r="I21" s="967">
        <f t="shared" si="7"/>
        <v>0</v>
      </c>
      <c r="J21" s="969">
        <f t="shared" si="7"/>
        <v>0</v>
      </c>
      <c r="K21" s="969">
        <f t="shared" si="7"/>
        <v>0</v>
      </c>
      <c r="L21" s="1028">
        <f t="shared" si="7"/>
        <v>0</v>
      </c>
      <c r="M21" s="1028">
        <f t="shared" si="7"/>
        <v>0</v>
      </c>
      <c r="N21" s="1028">
        <f t="shared" si="7"/>
        <v>279</v>
      </c>
      <c r="O21" s="1028">
        <f t="shared" si="7"/>
        <v>0</v>
      </c>
      <c r="P21" s="1028">
        <f t="shared" si="7"/>
        <v>0</v>
      </c>
      <c r="Q21" s="969">
        <f t="shared" si="7"/>
        <v>1354</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2410</v>
      </c>
      <c r="AC21" s="968">
        <f t="shared" si="8"/>
        <v>1377</v>
      </c>
      <c r="AD21" s="968">
        <f t="shared" si="8"/>
        <v>0</v>
      </c>
      <c r="AE21" s="968">
        <f t="shared" si="8"/>
        <v>0</v>
      </c>
      <c r="AF21" s="975">
        <f t="shared" si="8"/>
        <v>2664</v>
      </c>
      <c r="AG21" s="975">
        <f t="shared" si="8"/>
        <v>0</v>
      </c>
      <c r="AH21" s="975">
        <f t="shared" si="8"/>
        <v>314</v>
      </c>
      <c r="AI21" s="975">
        <f t="shared" si="8"/>
        <v>0</v>
      </c>
      <c r="AJ21" s="968">
        <f t="shared" si="8"/>
        <v>0</v>
      </c>
      <c r="AK21" s="975">
        <f t="shared" si="8"/>
        <v>0</v>
      </c>
      <c r="AL21" s="975">
        <f t="shared" si="8"/>
        <v>0</v>
      </c>
      <c r="AM21" s="975">
        <f t="shared" si="8"/>
        <v>11936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1161</v>
      </c>
      <c r="BD21" s="967">
        <f t="shared" si="8"/>
        <v>2455</v>
      </c>
      <c r="BE21" s="967">
        <f t="shared" si="8"/>
        <v>0</v>
      </c>
      <c r="BF21" s="977">
        <f t="shared" si="8"/>
        <v>0</v>
      </c>
      <c r="BG21" s="1062">
        <f>IF(ISNUMBER(Datos!K21/Datos!J21),Datos!K21/Datos!J21," - ")</f>
        <v>0.88506133422954125</v>
      </c>
      <c r="BH21" s="1062">
        <f>IF(ISNUMBER(((Datos!L21/Datos!K21)*11)/factor_trimestre),((Datos!L21/Datos!K21)*11)/factor_trimestre," - ")</f>
        <v>5.5893297892538447</v>
      </c>
      <c r="BI21" s="960">
        <f>IF(ISNUMBER(Datos!J21/Datos!I21),Datos!J21/Datos!I21," - ")</f>
        <v>0.65259348612786494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-1.1553211888782358</v>
      </c>
      <c r="BM21" s="1036">
        <f>IF(ISNUMBER((Datos!P21-Datos!Q21+R21)/(Datos!R21-Datos!P21+Datos!Q21-R21)),(Datos!P21-Datos!Q21+R21)/(Datos!R21-Datos!P21+Datos!Q21-R21)," - ")</f>
        <v>-1.9232377289070993E-3</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290</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672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291</v>
      </c>
      <c r="D23" s="512"/>
      <c r="E23" s="562">
        <f>IF(ISNUMBER(STDEV(E8:E20)),STDEV(E8:E20),"-")</f>
        <v>3.5058392848088586</v>
      </c>
      <c r="F23" s="600">
        <f>IF(ISNUMBER(STDEV(F8:F20)),STDEV(F8:F20),"-")</f>
        <v>935.04452656901151</v>
      </c>
      <c r="G23" s="601">
        <f>IF(ISNUMBER(STDEV(G8:G20)),STDEV(G8:G20),"-")</f>
        <v>934.42031941377081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1003.2960442366712</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271.76874360382209</v>
      </c>
      <c r="BD23" s="600"/>
      <c r="BE23" s="600">
        <f>IF(ISNUMBER(STDEV(BE8:BE20)),STDEV(BE8:BE20),"-")</f>
        <v>0</v>
      </c>
      <c r="BF23" s="605">
        <f>IF(ISNUMBER(STDEV(BF8:BF20)),STDEV(BF8:BF20),"-")</f>
        <v>0</v>
      </c>
      <c r="BG23" s="915">
        <f>IF(ISNUMBER(STDEV(BG8:BG20)),STDEV(BG8:BG20),"-")</f>
        <v>0.19730542776659718</v>
      </c>
      <c r="BH23" s="919">
        <f>IF(ISNUMBER(STDEV(BH8:BH20)),STDEV(BH8:BH20),"-")</f>
        <v>2.1990275417147167</v>
      </c>
      <c r="BI23" s="254">
        <f>IF(ISNUMBER(STDEV(BI8:BI20)),STDEV(BI8:BI20),"-")</f>
        <v>8.6077863986799938E-2</v>
      </c>
      <c r="BJ23" s="235" t="str">
        <f>IF(ISNUMBER(BL23/BM23),BL23/BM23," - ")</f>
        <v xml:space="preserve"> - </v>
      </c>
      <c r="BK23" s="627"/>
      <c r="BL23" s="608">
        <f>IF(ISNUMBER(STDEV(BL8:BL20)),STDEV(BL8:BL20),"-")</f>
        <v>0.53186865504637493</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465</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288</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289</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6iRE/KsVCYSHXDQFg0Io482/8WRj4zLxbLd+zbUaHDd9c5LnJJ5+M+mhBtG8BCLiZFSglo+Awf6kk/B2J0vudQ==" saltValue="USIKIegyC9DDjsvifQTQ7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CADIZ  Resumenes por Partidos Judiciales  JEREZ DE LA FRONTERA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390</v>
      </c>
      <c r="B5" s="277"/>
      <c r="C5" s="1701" t="str">
        <f>"Año:  " &amp;Criterios!B$5 &amp; "          Trimestre   " &amp;Criterios!D$5 &amp; " al " &amp;Criterios!D$6</f>
        <v>Año:  2023          Trimestre   1 al 1</v>
      </c>
      <c r="D5" s="1703" t="s">
        <v>416</v>
      </c>
      <c r="E5" s="1660" t="s">
        <v>620</v>
      </c>
      <c r="F5" s="1671" t="s">
        <v>447</v>
      </c>
      <c r="G5" s="1660" t="s">
        <v>140</v>
      </c>
      <c r="H5" s="1660" t="s">
        <v>650</v>
      </c>
      <c r="I5" s="1660" t="s">
        <v>621</v>
      </c>
      <c r="J5" s="1660" t="s">
        <v>749</v>
      </c>
      <c r="K5" s="1660" t="s">
        <v>622</v>
      </c>
      <c r="L5" s="1660" t="s">
        <v>648</v>
      </c>
      <c r="M5" s="1660" t="s">
        <v>750</v>
      </c>
      <c r="N5" s="1660" t="s">
        <v>647</v>
      </c>
      <c r="O5" s="1660" t="s">
        <v>675</v>
      </c>
      <c r="P5" s="1666" t="s">
        <v>742</v>
      </c>
      <c r="Q5" s="1666" t="s">
        <v>744</v>
      </c>
      <c r="R5" s="1660" t="s">
        <v>654</v>
      </c>
      <c r="S5" s="1660" t="s">
        <v>623</v>
      </c>
      <c r="T5" s="1660" t="s">
        <v>841</v>
      </c>
      <c r="U5" s="1660" t="s">
        <v>842</v>
      </c>
      <c r="V5" s="1680" t="s">
        <v>733</v>
      </c>
      <c r="W5" s="1677" t="s">
        <v>636</v>
      </c>
      <c r="X5" s="1695" t="s">
        <v>637</v>
      </c>
      <c r="Y5" s="1698" t="s">
        <v>655</v>
      </c>
      <c r="Z5" s="1698" t="s">
        <v>676</v>
      </c>
      <c r="AA5" s="1660" t="s">
        <v>627</v>
      </c>
      <c r="AB5" s="1660" t="s">
        <v>638</v>
      </c>
      <c r="AC5" s="1660" t="s">
        <v>639</v>
      </c>
      <c r="AD5" s="1660" t="s">
        <v>593</v>
      </c>
      <c r="AE5" s="1660" t="s">
        <v>751</v>
      </c>
      <c r="AF5" s="1660" t="s">
        <v>203</v>
      </c>
      <c r="AG5" s="1660" t="s">
        <v>640</v>
      </c>
      <c r="AH5" s="1660" t="s">
        <v>628</v>
      </c>
      <c r="AI5" s="1660" t="s">
        <v>629</v>
      </c>
      <c r="AJ5" s="1660" t="s">
        <v>641</v>
      </c>
      <c r="AK5" s="1660" t="s">
        <v>642</v>
      </c>
      <c r="AL5" s="1660" t="s">
        <v>643</v>
      </c>
      <c r="AM5" s="1692" t="s">
        <v>644</v>
      </c>
      <c r="AN5" s="1660" t="s">
        <v>275</v>
      </c>
      <c r="AO5" s="1660" t="s">
        <v>631</v>
      </c>
      <c r="AP5" s="1660" t="s">
        <v>632</v>
      </c>
      <c r="AQ5" s="1660" t="s">
        <v>656</v>
      </c>
      <c r="AR5" s="1660" t="s">
        <v>657</v>
      </c>
      <c r="AS5" s="1660" t="s">
        <v>659</v>
      </c>
      <c r="AT5" s="1660" t="s">
        <v>652</v>
      </c>
      <c r="AU5" s="1660" t="s">
        <v>914</v>
      </c>
      <c r="AV5" s="1660" t="s">
        <v>369</v>
      </c>
      <c r="AW5" s="1660" t="s">
        <v>645</v>
      </c>
      <c r="AX5" s="1660" t="s">
        <v>598</v>
      </c>
      <c r="BU5" s="1660" t="s">
        <v>843</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658</v>
      </c>
      <c r="B9" s="653" t="s">
        <v>272</v>
      </c>
      <c r="C9" s="671" t="str">
        <f>Datos!A9</f>
        <v xml:space="preserve">Jdos. 1ª Instancia   </v>
      </c>
      <c r="D9" s="544"/>
      <c r="E9" s="1337">
        <f>IF(ISNUMBER(Datos!AQ9),Datos!AQ9," - ")</f>
        <v>7</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1095</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f>IF(ISNUMBER(Datos!Q9),Datos!Q9," - ")</f>
        <v>1065</v>
      </c>
      <c r="AA9" s="506" t="str">
        <f>IF(ISNUMBER(IF(J_V="SI",Datos!L9,Datos!L9+Datos!AB9)-IF(Monitorios="SI",Datos!CD9,0)),
                          IF(J_V="SI",Datos!L9,Datos!L9+Datos!AB9)-IF(Monitorios="SI",Datos!CD9,0),
                          " - ")</f>
        <v xml:space="preserve"> - </v>
      </c>
      <c r="AB9" s="504"/>
      <c r="AC9" s="504"/>
      <c r="AD9" s="517"/>
      <c r="AE9" s="517">
        <f>IF(ISNUMBER(Datos!R9),Datos!R9," - ")</f>
        <v>10516</v>
      </c>
      <c r="AF9" s="620" t="str">
        <f>IF(ISNUMBER(Datos!BV9),Datos!BV9," - ")</f>
        <v xml:space="preserve"> - </v>
      </c>
      <c r="AG9" s="507" t="str">
        <f>IF(ISNUMBER(Datos!DV9),Datos!DV9," - ")</f>
        <v xml:space="preserve"> - </v>
      </c>
      <c r="AH9" s="508"/>
      <c r="AI9" s="509"/>
      <c r="AJ9" s="507">
        <f>IF(ISNUMBER(Datos!M9),Datos!M9," - ")</f>
        <v>573</v>
      </c>
      <c r="AK9" s="620">
        <f>IF(ISNUMBER(Datos!N9),Datos!N9," - ")</f>
        <v>935</v>
      </c>
      <c r="AL9" s="620" t="str">
        <f>IF(ISNUMBER(Datos!BW9),Datos!BW9," - ")</f>
        <v xml:space="preserve"> - </v>
      </c>
      <c r="AM9" s="668" t="str">
        <f>IF(ISNUMBER(Datos!BX9),Datos!BX9," - ")</f>
        <v xml:space="preserve"> - </v>
      </c>
      <c r="AN9" s="669"/>
      <c r="AO9" s="670">
        <f>IF(ISNUMBER(((NºAsuntos!I9/NºAsuntos!G9)*11)/factor_trimestre),((NºAsuntos!I9/NºAsuntos!G9)*11)/factor_trimestre," - ")</f>
        <v>7.1881959910913151</v>
      </c>
      <c r="AP9" s="510" t="str">
        <f>IF(ISNUMBER(Datos!CI9/Datos!CJ9),Datos!CI9/Datos!CJ9," - ")</f>
        <v xml:space="preserve"> - </v>
      </c>
      <c r="AQ9" s="510" t="str">
        <f>IF(ISNUMBER((J9-Y9+K9)/(F9)),(J9-Y9+K9)/(F9)," - ")</f>
        <v xml:space="preserve"> - </v>
      </c>
      <c r="AR9" s="510">
        <f>IF(ISNUMBER((Datos!P9-Datos!Q9+Datos!DE9)/(Datos!R9-Datos!P9+Datos!Q9-Datos!DE9)),(Datos!P9-Datos!Q9+Datos!DE9)/(Datos!R9-Datos!P9+Datos!Q9-Datos!DE9)," - ")</f>
        <v>2.8609574670989892E-3</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272</v>
      </c>
      <c r="C10" s="655" t="str">
        <f>Datos!A10</f>
        <v>Jdos. Violencia contra la mujer</v>
      </c>
      <c r="D10" s="549"/>
      <c r="E10" s="1337">
        <f>IF(ISNUMBER(Datos!AQ10),Datos!AQ10," - ")</f>
        <v>1</v>
      </c>
      <c r="F10" s="507">
        <f>IF(ISNUMBER(Datos!L10+Datos!K10-Datos!J10),Datos!L10+Datos!K10-Datos!J10," - ")</f>
        <v>131</v>
      </c>
      <c r="G10" s="507">
        <f>IF(ISNUMBER(Datos!I10),Datos!I10," - ")</f>
        <v>134</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21</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59</v>
      </c>
      <c r="Z10" s="704">
        <f>IF(ISNUMBER(Datos!Q10),Datos!Q10," - ")</f>
        <v>30</v>
      </c>
      <c r="AA10" s="506">
        <f>IF(ISNUMBER(Datos!L10),Datos!L10,"-")</f>
        <v>136</v>
      </c>
      <c r="AB10" s="504"/>
      <c r="AC10" s="504"/>
      <c r="AD10" s="517"/>
      <c r="AE10" s="517">
        <f>IF(ISNUMBER(Datos!R10),Datos!R10," - ")</f>
        <v>146</v>
      </c>
      <c r="AF10" s="620" t="str">
        <f>IF(ISNUMBER(Datos!BV10),Datos!BV10," - ")</f>
        <v xml:space="preserve"> - </v>
      </c>
      <c r="AG10" s="507" t="str">
        <f>IF(ISNUMBER(Datos!DV10),Datos!DV10," - ")</f>
        <v xml:space="preserve"> - </v>
      </c>
      <c r="AH10" s="508"/>
      <c r="AI10" s="509"/>
      <c r="AJ10" s="507">
        <f>IF(ISNUMBER(Datos!M10),Datos!M10," - ")</f>
        <v>27</v>
      </c>
      <c r="AK10" s="620">
        <f>IF(ISNUMBER(Datos!N10),Datos!N10," - ")</f>
        <v>21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6.9152542372881358</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-5.8064516129032261E-2</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1</v>
      </c>
      <c r="B11" s="654" t="s">
        <v>272</v>
      </c>
      <c r="C11" s="655" t="str">
        <f>Datos!A11</f>
        <v xml:space="preserve">Jdos. Familia                                   </v>
      </c>
      <c r="D11" s="549"/>
      <c r="E11" s="1337">
        <f>IF(ISNUMBER(Datos!AQ11),Datos!AQ11," - ")</f>
        <v>1</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34</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f>IF(ISNUMBER(Datos!Q11),Datos!Q11," - ")</f>
        <v>58</v>
      </c>
      <c r="AA11" s="506" t="str">
        <f>IF(ISNUMBER(IF(J_V="SI",Datos!L11,Datos!L11+Datos!AB11)-IF(Monitorios="SI",Datos!CD11,0)),
                          IF(J_V="SI",Datos!L11,Datos!L11+Datos!AB11)-IF(Monitorios="SI",Datos!CD11,0),
                          " - ")</f>
        <v xml:space="preserve"> - </v>
      </c>
      <c r="AB11" s="504"/>
      <c r="AC11" s="504"/>
      <c r="AD11" s="517"/>
      <c r="AE11" s="517">
        <f>IF(ISNUMBER(Datos!R11),Datos!R11," - ")</f>
        <v>701</v>
      </c>
      <c r="AF11" s="620" t="str">
        <f>IF(ISNUMBER(Datos!BV11),Datos!BV11," - ")</f>
        <v xml:space="preserve"> - </v>
      </c>
      <c r="AG11" s="507" t="str">
        <f>IF(ISNUMBER(Datos!DV11),Datos!DV11," - ")</f>
        <v xml:space="preserve"> - </v>
      </c>
      <c r="AH11" s="508"/>
      <c r="AI11" s="509"/>
      <c r="AJ11" s="507">
        <f>IF(ISNUMBER(Datos!M11),Datos!M11," - ")</f>
        <v>115</v>
      </c>
      <c r="AK11" s="620">
        <f>IF(ISNUMBER(Datos!N11),Datos!N11," - ")</f>
        <v>305</v>
      </c>
      <c r="AL11" s="620" t="str">
        <f>IF(ISNUMBER(Datos!BW11),Datos!BW11," - ")</f>
        <v xml:space="preserve"> - </v>
      </c>
      <c r="AM11" s="668" t="str">
        <f>IF(ISNUMBER(Datos!BX11),Datos!BX11," - ")</f>
        <v xml:space="preserve"> - </v>
      </c>
      <c r="AN11" s="669"/>
      <c r="AO11" s="670">
        <f>IF(ISNUMBER(((NºAsuntos!I11/NºAsuntos!G11)*11)/factor_trimestre),((NºAsuntos!I11/NºAsuntos!G11)*11)/factor_trimestre," - ")</f>
        <v>6.9677419354838719</v>
      </c>
      <c r="AP11" s="510" t="str">
        <f>IF(ISNUMBER(Datos!CI11/Datos!CJ11),Datos!CI11/Datos!CJ11," - ")</f>
        <v xml:space="preserve"> - </v>
      </c>
      <c r="AQ11" s="510" t="str">
        <f>IF(ISNUMBER((J11-Y11+K11)/(F11)),(J11-Y11+K11)/(F11)," - ")</f>
        <v xml:space="preserve"> - </v>
      </c>
      <c r="AR11" s="510">
        <f>IF(ISNUMBER((Datos!P11-Datos!Q11+Datos!DE11)/(Datos!R11-Datos!P11+Datos!Q11-Datos!DE11)),(Datos!P11-Datos!Q11+Datos!DE11)/(Datos!R11-Datos!P11+Datos!Q11-Datos!DE11)," - ")</f>
        <v>-3.310344827586207E-2</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0</v>
      </c>
      <c r="B12" s="654" t="s">
        <v>272</v>
      </c>
      <c r="C12" s="655" t="str">
        <f>Datos!A12</f>
        <v xml:space="preserve">Jdos. 1ª Instª. e Instr.                        </v>
      </c>
      <c r="D12" s="549"/>
      <c r="E12" s="1337">
        <f>IF(ISNUMBER(Datos!AQ12),Datos!AQ12," - ")</f>
        <v>0</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t="str">
        <f>IF(ISNUMBER(Datos!Q12),Datos!Q12," - ")</f>
        <v xml:space="preserve"> - </v>
      </c>
      <c r="AA12" s="506" t="str">
        <f>IF(ISNUMBER(IF(J_V="SI",Datos!L12,Datos!L12+Datos!AB12)-IF(Monitorios="SI",Datos!CD12,0)),
                          IF(J_V="SI",Datos!L12,Datos!L12+Datos!AB12)-IF(Monitorios="SI",Datos!CD12,0),
                          " - ")</f>
        <v xml:space="preserve"> - </v>
      </c>
      <c r="AB12" s="504"/>
      <c r="AC12" s="504"/>
      <c r="AD12" s="517"/>
      <c r="AE12" s="517" t="str">
        <f>IF(ISNUMBER(Datos!R12),Datos!R12," - ")</f>
        <v xml:space="preserve"> - </v>
      </c>
      <c r="AF12" s="620" t="str">
        <f>IF(ISNUMBER(Datos!BV12),Datos!BV12," - ")</f>
        <v xml:space="preserve"> - </v>
      </c>
      <c r="AG12" s="507" t="str">
        <f>IF(ISNUMBER(Datos!DV12),Datos!DV12," - ")</f>
        <v xml:space="preserve"> - </v>
      </c>
      <c r="AH12" s="508"/>
      <c r="AI12" s="509"/>
      <c r="AJ12" s="507" t="str">
        <f>IF(ISNUMBER(Datos!M12),Datos!M12," - ")</f>
        <v xml:space="preserve"> - </v>
      </c>
      <c r="AK12" s="620" t="str">
        <f>IF(ISNUMBER(Datos!N12),Datos!N12," - ")</f>
        <v xml:space="preserve"> - </v>
      </c>
      <c r="AL12" s="620" t="str">
        <f>IF(ISNUMBER(Datos!BW12),Datos!BW12," - ")</f>
        <v xml:space="preserve"> - </v>
      </c>
      <c r="AM12" s="668" t="str">
        <f>IF(ISNUMBER(Datos!BX12),Datos!BX12," - ")</f>
        <v xml:space="preserve"> - </v>
      </c>
      <c r="AN12" s="669"/>
      <c r="AO12" s="670" t="str">
        <f>IF(ISNUMBER(((NºAsuntos!I12/NºAsuntos!G12)*11)/factor_trimestre),((NºAsuntos!I12/NºAsuntos!G12)*11)/factor_trimestre," - ")</f>
        <v xml:space="preserve"> - </v>
      </c>
      <c r="AP12" s="510" t="str">
        <f>IF(ISNUMBER(Datos!CI12/Datos!CJ12),Datos!CI12/Datos!CJ12," - ")</f>
        <v xml:space="preserve"> - </v>
      </c>
      <c r="AQ12" s="510" t="str">
        <f>IF(ISNUMBER((J12-Y12+K12)/(F12)),(J12-Y12+K12)/(F12)," - ")</f>
        <v xml:space="preserve"> - </v>
      </c>
      <c r="AR12" s="510" t="str">
        <f>IF(ISNUMBER((Datos!P12-Datos!Q12+Datos!DE12)/(Datos!R12-Datos!P12+Datos!Q12-Datos!DE12)),(Datos!P12-Datos!Q12+Datos!DE12)/(Datos!R12-Datos!P12+Datos!Q12-Datos!DE12)," - ")</f>
        <v xml:space="preserve"> - </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1</v>
      </c>
      <c r="B13" s="654" t="s">
        <v>272</v>
      </c>
      <c r="C13" s="655" t="str">
        <f>Datos!A13</f>
        <v xml:space="preserve">Jdos. de Menores    </v>
      </c>
      <c r="D13" s="549"/>
      <c r="E13" s="1337">
        <f>IF(ISNUMBER(Datos!AQ13),Datos!AQ13," - ")</f>
        <v>1</v>
      </c>
      <c r="F13" s="507">
        <f>IF(ISNUMBER(Datos!L13+Datos!K13-Datos!J13),Datos!L13+Datos!K13-Datos!J13," - ")</f>
        <v>0</v>
      </c>
      <c r="G13" s="507">
        <f>IF(ISNUMBER(Datos!I13),Datos!I13," - ")</f>
        <v>0</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f>IF(ISNUMBER(Datos!K13),Datos!K13," - ")</f>
        <v>0</v>
      </c>
      <c r="Z13" s="704">
        <f>IF(ISNUMBER(Datos!Q13),Datos!Q13," - ")</f>
        <v>0</v>
      </c>
      <c r="AA13" s="506">
        <f>IF(ISNUMBER(Datos!L13),Datos!L13,"-")</f>
        <v>0</v>
      </c>
      <c r="AB13" s="504"/>
      <c r="AC13" s="504"/>
      <c r="AD13" s="517"/>
      <c r="AE13" s="517">
        <f>IF(ISNUMBER(Datos!R13),Datos!R13," - ")</f>
        <v>0</v>
      </c>
      <c r="AF13" s="620" t="str">
        <f>IF(ISNUMBER(Datos!BV13),Datos!BV13," - ")</f>
        <v xml:space="preserve"> - </v>
      </c>
      <c r="AG13" s="507" t="str">
        <f>IF(ISNUMBER(Datos!DV13),Datos!DV13," - ")</f>
        <v xml:space="preserve"> - </v>
      </c>
      <c r="AH13" s="508"/>
      <c r="AI13" s="509"/>
      <c r="AJ13" s="507">
        <f>IF(ISNUMBER(Datos!M13),Datos!M13," - ")</f>
        <v>0</v>
      </c>
      <c r="AK13" s="620">
        <f>IF(ISNUMBER(Datos!N13),Datos!N13," - ")</f>
        <v>0</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10</v>
      </c>
      <c r="F14" s="1045">
        <f>SUBTOTAL(9,F8:F13)</f>
        <v>131</v>
      </c>
      <c r="G14" s="1045">
        <f>SUBTOTAL(9,G8:G13)</f>
        <v>134</v>
      </c>
      <c r="H14" s="1055"/>
      <c r="I14" s="1045">
        <f t="shared" ref="I14:N14" si="1">SUBTOTAL(9,I8:I13)</f>
        <v>0</v>
      </c>
      <c r="J14" s="1014">
        <f t="shared" si="1"/>
        <v>0</v>
      </c>
      <c r="K14" s="1055">
        <f t="shared" si="1"/>
        <v>0</v>
      </c>
      <c r="L14" s="1055">
        <f t="shared" si="1"/>
        <v>0</v>
      </c>
      <c r="M14" s="1055">
        <f t="shared" si="1"/>
        <v>0</v>
      </c>
      <c r="N14" s="1055">
        <f t="shared" si="1"/>
        <v>1150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59</v>
      </c>
      <c r="Z14" s="1054">
        <f t="shared" si="3"/>
        <v>1153</v>
      </c>
      <c r="AA14" s="1047">
        <f t="shared" si="3"/>
        <v>136</v>
      </c>
      <c r="AB14" s="1047">
        <f t="shared" si="3"/>
        <v>0</v>
      </c>
      <c r="AC14" s="1047">
        <f t="shared" si="3"/>
        <v>0</v>
      </c>
      <c r="AD14" s="1047">
        <f t="shared" si="3"/>
        <v>0</v>
      </c>
      <c r="AE14" s="1047">
        <f t="shared" si="3"/>
        <v>11363</v>
      </c>
      <c r="AF14" s="1055">
        <f t="shared" si="3"/>
        <v>0</v>
      </c>
      <c r="AG14" s="1055">
        <f t="shared" si="3"/>
        <v>0</v>
      </c>
      <c r="AH14" s="1055">
        <f t="shared" si="3"/>
        <v>0</v>
      </c>
      <c r="AI14" s="1055">
        <f t="shared" si="3"/>
        <v>0</v>
      </c>
      <c r="AJ14" s="1055">
        <f t="shared" si="3"/>
        <v>715</v>
      </c>
      <c r="AK14" s="1055">
        <f t="shared" si="3"/>
        <v>1261</v>
      </c>
      <c r="AL14" s="1055">
        <f t="shared" si="3"/>
        <v>0</v>
      </c>
      <c r="AM14" s="1055">
        <f t="shared" si="3"/>
        <v>0</v>
      </c>
      <c r="AN14" s="1055">
        <f t="shared" si="3"/>
        <v>0</v>
      </c>
      <c r="AO14" s="1051">
        <f>IF(ISNUMBER(((NºAsuntos!I14/NºAsuntos!G14)*11)/factor_trimestre),((NºAsuntos!I14/NºAsuntos!G14)*11)/factor_trimestre," - ")</f>
        <v>7.1531220583620962</v>
      </c>
      <c r="AP14" s="1057" t="str">
        <f>IF(ISNUMBER(Datos!CI14/Datos!CJ14),Datos!CI14/Datos!CJ14," - ")</f>
        <v xml:space="preserve"> - </v>
      </c>
      <c r="AQ14" s="1075">
        <f t="shared" ref="AQ14:AV14" si="4">SUBTOTAL(9,AQ9:AQ13)</f>
        <v>0</v>
      </c>
      <c r="AR14" s="1075">
        <f t="shared" si="4"/>
        <v>-8.8307006937795335E-2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5</v>
      </c>
      <c r="B16" s="654" t="s">
        <v>436</v>
      </c>
      <c r="C16" s="671" t="str">
        <f>Datos!A16</f>
        <v xml:space="preserve">Jdos. Instrucción                               </v>
      </c>
      <c r="D16" s="544"/>
      <c r="E16" s="1337">
        <f>IF(ISNUMBER(Datos!AQ16),Datos!AQ16," - ")</f>
        <v>5</v>
      </c>
      <c r="F16" s="498">
        <f>IF(ISNUMBER(AA16+Y16-Datos!J16-K16),AA16+Y16-Datos!J16-K16," - ")</f>
        <v>1845</v>
      </c>
      <c r="G16" s="507">
        <f>IF(ISNUMBER(IF(D_I="SI",Datos!I16,Datos!I16+Datos!AC16)),IF(D_I="SI",Datos!I16,Datos!I16+Datos!AC16)," - ")</f>
        <v>1832</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140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f>IF(ISNUMBER(IF(D_I="SI",Datos!K16,Datos!K16+Datos!AE16)),IF(D_I="SI",Datos!K16,Datos!K16+Datos!AE16)," - ")</f>
        <v>1923</v>
      </c>
      <c r="Z16" s="704">
        <f>IF(ISNUMBER(Datos!Q16),Datos!Q16," - ")</f>
        <v>154</v>
      </c>
      <c r="AA16" s="506">
        <f>IF(ISNUMBER(IF(D_I="SI",Datos!L16,Datos!L16+Datos!AF16)),IF(D_I="SI",Datos!L16,Datos!L16+Datos!AF16)," - ")</f>
        <v>2157</v>
      </c>
      <c r="AB16" s="504"/>
      <c r="AC16" s="504"/>
      <c r="AD16" s="517"/>
      <c r="AE16" s="517">
        <f>IF(ISNUMBER(Datos!R16),Datos!R16," - ")</f>
        <v>417</v>
      </c>
      <c r="AF16" s="620" t="str">
        <f>IF(ISNUMBER(Datos!BV16),Datos!BV16," - ")</f>
        <v xml:space="preserve"> - </v>
      </c>
      <c r="AG16" s="507"/>
      <c r="AH16" s="508"/>
      <c r="AI16" s="509"/>
      <c r="AJ16" s="507">
        <f>IF(ISNUMBER(Datos!M16),Datos!M16," - ")</f>
        <v>365</v>
      </c>
      <c r="AK16" s="620">
        <f>IF(ISNUMBER(Datos!N16),Datos!N16," - ")</f>
        <v>1000</v>
      </c>
      <c r="AL16" s="620" t="str">
        <f>IF(ISNUMBER(Datos!BW16),Datos!BW16," - ")</f>
        <v xml:space="preserve"> - </v>
      </c>
      <c r="AM16" s="668" t="str">
        <f>IF(ISNUMBER(Datos!BX16),Datos!BX16," - ")</f>
        <v xml:space="preserve"> - </v>
      </c>
      <c r="AN16" s="669"/>
      <c r="AO16" s="670">
        <f>IF(ISNUMBER(((NºAsuntos!I16/NºAsuntos!G16)*11)/factor_trimestre),((NºAsuntos!I16/NºAsuntos!G16)*11)/factor_trimestre," - ")</f>
        <v>3.3650546021840877</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0</v>
      </c>
      <c r="B17" s="654" t="s">
        <v>436</v>
      </c>
      <c r="C17" s="671" t="str">
        <f>Datos!A17</f>
        <v xml:space="preserve">Jdos. 1ª Instª. e Instr.                        </v>
      </c>
      <c r="D17" s="544"/>
      <c r="E17" s="1337">
        <f>IF(ISNUMBER(Datos!AQ17),Datos!AQ17," - ")</f>
        <v>0</v>
      </c>
      <c r="F17" s="498" t="str">
        <f>IF(ISNUMBER(AA17+Y17-Datos!J17-K16),AA17+Y17-Datos!J17-K16," - ")</f>
        <v xml:space="preserve"> - </v>
      </c>
      <c r="G17" s="507" t="str">
        <f>IF(ISNUMBER(IF(D_I="SI",Datos!I17,Datos!I17+Datos!AC17)),IF(D_I="SI",Datos!I17,Datos!I17+Datos!AC17)," - ")</f>
        <v xml:space="preserve"> - </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0</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t="str">
        <f>IF(ISNUMBER(IF(D_I="SI",Datos!K17,Datos!K17+Datos!AE17)),IF(D_I="SI",Datos!K17,Datos!K17+Datos!AE17)," - ")</f>
        <v xml:space="preserve"> - </v>
      </c>
      <c r="Z17" s="704" t="str">
        <f>IF(ISNUMBER(Datos!Q17),Datos!Q17," - ")</f>
        <v xml:space="preserve"> - </v>
      </c>
      <c r="AA17" s="506" t="str">
        <f>IF(ISNUMBER(IF(D_I="SI",Datos!L17,Datos!L17+Datos!AF17)),IF(D_I="SI",Datos!L17,Datos!L17+Datos!AF17)," - ")</f>
        <v xml:space="preserve"> - </v>
      </c>
      <c r="AB17" s="504"/>
      <c r="AC17" s="504"/>
      <c r="AD17" s="517"/>
      <c r="AE17" s="517" t="str">
        <f>IF(ISNUMBER(Datos!R17),Datos!R17," - ")</f>
        <v xml:space="preserve"> - </v>
      </c>
      <c r="AF17" s="620" t="str">
        <f>IF(ISNUMBER(Datos!BV17),Datos!BV17," - ")</f>
        <v xml:space="preserve"> - </v>
      </c>
      <c r="AG17" s="507"/>
      <c r="AH17" s="508"/>
      <c r="AI17" s="509"/>
      <c r="AJ17" s="507" t="str">
        <f>IF(ISNUMBER(Datos!M17),Datos!M17," - ")</f>
        <v xml:space="preserve"> - </v>
      </c>
      <c r="AK17" s="620" t="str">
        <f>IF(ISNUMBER(Datos!N17),Datos!N17," - ")</f>
        <v xml:space="preserve"> - </v>
      </c>
      <c r="AL17" s="620" t="str">
        <f>IF(ISNUMBER(Datos!BW17),Datos!BW17," - ")</f>
        <v xml:space="preserve"> - </v>
      </c>
      <c r="AM17" s="668" t="str">
        <f>IF(ISNUMBER(Datos!BX17),Datos!BX17," - ")</f>
        <v xml:space="preserve"> - </v>
      </c>
      <c r="AN17" s="669"/>
      <c r="AO17" s="670" t="str">
        <f>IF(ISNUMBER(((NºAsuntos!I17/NºAsuntos!G17)*11)/factor_trimestre),((NºAsuntos!I17/NºAsuntos!G17)*11)/factor_trimestre," - ")</f>
        <v xml:space="preserve"> - </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436</v>
      </c>
      <c r="C18" s="655" t="str">
        <f>Datos!A18</f>
        <v>Jdos. Violencia contra la mujer</v>
      </c>
      <c r="D18" s="549"/>
      <c r="E18" s="1337">
        <f>IF(ISNUMBER(Datos!AQ18),Datos!AQ18," - ")</f>
        <v>1</v>
      </c>
      <c r="F18" s="507" t="str">
        <f>IF(ISNUMBER(AA18+Y18-I18-K18),AA18+Y18-I18-K18," - ")</f>
        <v xml:space="preserve"> - </v>
      </c>
      <c r="G18" s="741">
        <f>IF(ISNUMBER(IF(D_I="SI",Datos!I18,Datos!I18+Datos!AC18)),IF(D_I="SI",Datos!I18,Datos!I18+Datos!AC18)," - ")</f>
        <v>276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346</v>
      </c>
      <c r="Z18" s="704">
        <f>IF(ISNUMBER(Datos!Q18),Datos!Q18," - ")</f>
        <v>3</v>
      </c>
      <c r="AA18" s="506">
        <f>IF(ISNUMBER(Datos!L18),Datos!L18,"-")</f>
        <v>282</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18</v>
      </c>
      <c r="AK18" s="620">
        <f>IF(ISNUMBER(Datos!N18),Datos!N18," - ")</f>
        <v>194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2.445086705202312</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1</v>
      </c>
      <c r="B19" s="654" t="s">
        <v>436</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f>IF(ISNUMBER((Datos!P19-Datos!Q19+O19)/(Datos!R19-Datos!P19+Datos!Q19-O19)),(Datos!P19-Datos!Q19+O19)/(Datos!R19-Datos!P19+Datos!Q19-O19)," - ")</f>
        <v>-2.6315789473684209E-2</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6</v>
      </c>
      <c r="F20" s="1045">
        <f>SUBTOTAL(9,F16:F19)</f>
        <v>1845</v>
      </c>
      <c r="G20" s="1045">
        <f>SUBTOTAL(9,G16:G19)</f>
        <v>2108</v>
      </c>
      <c r="H20" s="1079">
        <f>SUBTOTAL(9,H16:H19)</f>
        <v>0</v>
      </c>
      <c r="I20" s="1058">
        <f>SUBTOTAL(9,I16:I19)</f>
        <v>0</v>
      </c>
      <c r="J20" s="1014">
        <f>SUBTOTAL(9,J15:J19)</f>
        <v>0</v>
      </c>
      <c r="K20" s="1079">
        <f t="shared" ref="K20:S20" si="5">SUBTOTAL(9,K16:K19)</f>
        <v>0</v>
      </c>
      <c r="L20" s="1079">
        <f t="shared" si="5"/>
        <v>0</v>
      </c>
      <c r="M20" s="1079">
        <f t="shared" si="5"/>
        <v>0</v>
      </c>
      <c r="N20" s="1079">
        <f t="shared" si="5"/>
        <v>141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2269</v>
      </c>
      <c r="Z20" s="1079">
        <f t="shared" si="6"/>
        <v>157</v>
      </c>
      <c r="AA20" s="1079">
        <f t="shared" si="6"/>
        <v>2439</v>
      </c>
      <c r="AB20" s="1079">
        <f t="shared" si="6"/>
        <v>0</v>
      </c>
      <c r="AC20" s="1079">
        <f t="shared" si="6"/>
        <v>0</v>
      </c>
      <c r="AD20" s="1079">
        <f t="shared" si="6"/>
        <v>0</v>
      </c>
      <c r="AE20" s="1079">
        <f t="shared" si="6"/>
        <v>425</v>
      </c>
      <c r="AF20" s="1079">
        <f t="shared" si="6"/>
        <v>0</v>
      </c>
      <c r="AG20" s="1079">
        <f t="shared" si="6"/>
        <v>0</v>
      </c>
      <c r="AH20" s="1079">
        <f t="shared" si="6"/>
        <v>0</v>
      </c>
      <c r="AI20" s="1079">
        <f t="shared" si="6"/>
        <v>0</v>
      </c>
      <c r="AJ20" s="1079">
        <f t="shared" si="6"/>
        <v>383</v>
      </c>
      <c r="AK20" s="1079">
        <f t="shared" si="6"/>
        <v>1194</v>
      </c>
      <c r="AL20" s="1079">
        <f t="shared" si="6"/>
        <v>0</v>
      </c>
      <c r="AM20" s="1079">
        <f t="shared" si="6"/>
        <v>0</v>
      </c>
      <c r="AN20" s="1079">
        <f t="shared" si="6"/>
        <v>0</v>
      </c>
      <c r="AO20" s="1081">
        <f>IF(ISNUMBER(((NºAsuntos!I20/NºAsuntos!G20)*11)/factor_trimestre),((NºAsuntos!I20/NºAsuntos!G20)*11)/factor_trimestre," - ")</f>
        <v>3.2258613356018717</v>
      </c>
      <c r="AP20" s="1077" t="str">
        <f>IF(ISNUMBER(Datos!CI20/Datos!CJ20),Datos!CI20/Datos!CJ20," - ")</f>
        <v xml:space="preserve"> - </v>
      </c>
      <c r="AQ20" s="1082">
        <f t="shared" ref="AQ20:AV20" si="7">SUBTOTAL(9,AQ16:AQ19)</f>
        <v>0</v>
      </c>
      <c r="AR20" s="1082">
        <f t="shared" si="7"/>
        <v>-2.6315789473684209E-2</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16</v>
      </c>
      <c r="F21" s="967">
        <f t="shared" si="8"/>
        <v>1976</v>
      </c>
      <c r="G21" s="967">
        <f t="shared" si="8"/>
        <v>2242</v>
      </c>
      <c r="H21" s="968">
        <f t="shared" si="8"/>
        <v>0</v>
      </c>
      <c r="I21" s="967">
        <f t="shared" si="8"/>
        <v>0</v>
      </c>
      <c r="J21" s="969">
        <f t="shared" si="8"/>
        <v>0</v>
      </c>
      <c r="K21" s="967">
        <f t="shared" si="8"/>
        <v>0</v>
      </c>
      <c r="L21" s="970">
        <f t="shared" si="8"/>
        <v>0</v>
      </c>
      <c r="M21" s="967">
        <f t="shared" si="8"/>
        <v>0</v>
      </c>
      <c r="N21" s="968">
        <f t="shared" si="8"/>
        <v>1291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2328</v>
      </c>
      <c r="Z21" s="974">
        <f t="shared" si="9"/>
        <v>1310</v>
      </c>
      <c r="AA21" s="975">
        <f t="shared" si="9"/>
        <v>2575</v>
      </c>
      <c r="AB21" s="975">
        <f t="shared" si="9"/>
        <v>0</v>
      </c>
      <c r="AC21" s="975">
        <f t="shared" si="9"/>
        <v>0</v>
      </c>
      <c r="AD21" s="976">
        <f t="shared" si="9"/>
        <v>0</v>
      </c>
      <c r="AE21" s="976">
        <f t="shared" si="9"/>
        <v>11788</v>
      </c>
      <c r="AF21" s="977">
        <f t="shared" si="9"/>
        <v>0</v>
      </c>
      <c r="AG21" s="978">
        <f t="shared" si="9"/>
        <v>0</v>
      </c>
      <c r="AH21" s="979">
        <f t="shared" si="9"/>
        <v>0</v>
      </c>
      <c r="AI21" s="977">
        <f t="shared" si="9"/>
        <v>0</v>
      </c>
      <c r="AJ21" s="967">
        <f t="shared" si="9"/>
        <v>1098</v>
      </c>
      <c r="AK21" s="967">
        <f t="shared" si="9"/>
        <v>2455</v>
      </c>
      <c r="AL21" s="967">
        <f t="shared" si="9"/>
        <v>0</v>
      </c>
      <c r="AM21" s="980">
        <f t="shared" si="9"/>
        <v>0</v>
      </c>
      <c r="AN21" s="970">
        <f>IF(ISNUMBER(Datos!K21/Datos!J21),Datos!K21/Datos!J21," - ")</f>
        <v>0.88506133422954125</v>
      </c>
      <c r="AO21" s="970">
        <f>IF(ISNUMBER(FIND("06",Criterios!A8,1)),(IF(ISNUMBER(((Datos!R21/Datos!Q21)*11)/factor_trimestre),((Datos!R21/Datos!Q21)*11)/factor_trimestre," - ")),(IF(ISNUMBER(((Datos!L21/Datos!K21)*11)/factor_trimestre),((Datos!L21/Datos!K21)*11)/factor_trimestre," - ")))</f>
        <v>5.5893297892538447</v>
      </c>
      <c r="AP21" s="981" t="str">
        <f>IF(ISNUMBER(Datos!CI21/Datos!CJ21),Datos!CI21/Datos!CJ21," - ")</f>
        <v xml:space="preserve"> - </v>
      </c>
      <c r="AQ21" s="981">
        <f>IF(OR(ISNUMBER(FIND("01",Criterios!A8,1)),ISNUMBER(FIND("02",Criterios!A8,1)),ISNUMBER(FIND("03",Criterios!A8,1)),ISNUMBER(FIND("04",Criterios!A8,1))),(J21-Y21+K21)/(F21-K21),(I21-Y21+K21)/(F21-K21))</f>
        <v>-1.1781376518218623</v>
      </c>
      <c r="AR21" s="981">
        <f>IF(ISNUMBER((Datos!P21-Datos!Q21+O21)/(Datos!R21-Datos!P21+Datos!Q21-O21)),(Datos!P21-Datos!Q21+O21)/(Datos!R21-Datos!P21+Datos!Q21-O21)," - ")</f>
        <v>-1.9232377289070993E-3</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290</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747.33333333333337</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291</v>
      </c>
      <c r="D23" s="351"/>
      <c r="E23" s="632"/>
      <c r="F23" s="257">
        <f>IF(ISNUMBER(STDEV(F8:F20)),STDEV(F8:F20),"-")</f>
        <v>964.19800870982931</v>
      </c>
      <c r="G23" s="601">
        <f>IF(ISNUMBER(STDEV(G8:G20)),STDEV(G8:G20),"-")</f>
        <v>955.08463848324288</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275.40723094563594</v>
      </c>
      <c r="AK23" s="257"/>
      <c r="AL23" s="257">
        <f>IF(ISNUMBER(STDEV(AL8:AL20)),STDEV(AL8:AL20),"-")</f>
        <v>0</v>
      </c>
      <c r="AM23" s="259">
        <f>IF(ISNUMBER(STDEV(AM8:AM20)),STDEV(AM8:AM20),"-")</f>
        <v>0</v>
      </c>
      <c r="AN23" s="587">
        <f>IF(ISNUMBER(STDEV(AN8:AN20)),STDEV(AN8:AN20),"-")</f>
        <v>0</v>
      </c>
      <c r="AO23" s="588">
        <f>IF(ISNUMBER(STDEV(AO8:AO20)),STDEV(AO8:AO20),"-")</f>
        <v>2.1826084565810864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288</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289</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OQAiE/da4Cha/fPtAfxQnNnx+DS1PZ7RmEI3j5QFpaMCs9ZYgNbgfglkt+qKHXckoziliojdglvj1tzeifM2tg==" saltValue="TSo77chYUU82MR8FV2GiY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690</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691</v>
      </c>
      <c r="B4" s="1711" t="s">
        <v>799</v>
      </c>
      <c r="C4" s="1711" t="s">
        <v>692</v>
      </c>
      <c r="D4" s="1711" t="s">
        <v>757</v>
      </c>
      <c r="E4" s="1713" t="s">
        <v>758</v>
      </c>
      <c r="F4" s="1711" t="s">
        <v>693</v>
      </c>
      <c r="G4" s="1713" t="s">
        <v>503</v>
      </c>
      <c r="H4" s="1706" t="s">
        <v>694</v>
      </c>
      <c r="I4" s="1706" t="s">
        <v>695</v>
      </c>
      <c r="J4" s="1706" t="s">
        <v>696</v>
      </c>
      <c r="K4" s="1708" t="s">
        <v>298</v>
      </c>
      <c r="L4" s="1709"/>
      <c r="M4" s="1709"/>
      <c r="N4" s="1710"/>
      <c r="O4" s="1708" t="s">
        <v>498</v>
      </c>
      <c r="P4" s="1709"/>
      <c r="Q4" s="1709"/>
      <c r="R4" s="1710"/>
    </row>
    <row r="5" spans="1:18" ht="27.75" customHeight="1" thickBot="1">
      <c r="A5" s="1712"/>
      <c r="B5" s="1712"/>
      <c r="C5" s="1712"/>
      <c r="D5" s="1712"/>
      <c r="E5" s="1712"/>
      <c r="F5" s="1712"/>
      <c r="G5" s="1712"/>
      <c r="H5" s="1707"/>
      <c r="I5" s="1707"/>
      <c r="J5" s="1707"/>
      <c r="K5" s="993" t="s">
        <v>499</v>
      </c>
      <c r="L5" s="993" t="s">
        <v>500</v>
      </c>
      <c r="M5" s="993" t="s">
        <v>501</v>
      </c>
      <c r="N5" s="993" t="s">
        <v>502</v>
      </c>
      <c r="O5" s="994" t="s">
        <v>499</v>
      </c>
      <c r="P5" s="993" t="s">
        <v>500</v>
      </c>
      <c r="Q5" s="993" t="s">
        <v>501</v>
      </c>
      <c r="R5" s="993" t="s">
        <v>502</v>
      </c>
    </row>
  </sheetData>
  <sheetProtection algorithmName="SHA-512" hashValue="CEQbnTRk6n+N9+Q8FvP3aLj6bVOwH7RrCv/Utd4S/vWTxFMRyCqyAMRp5P8BsZtg03lb5bA5sISRgLBxJYk2sw==" saltValue="CA1kso/NHd5FOJw0Wb3H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438</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179</v>
      </c>
      <c r="AO1" s="30" t="s">
        <v>88</v>
      </c>
      <c r="AP1" s="52" t="s">
        <v>91</v>
      </c>
      <c r="AQ1" s="31" t="s">
        <v>115</v>
      </c>
      <c r="AR1" s="30" t="s">
        <v>116</v>
      </c>
      <c r="AS1" s="52" t="s">
        <v>117</v>
      </c>
      <c r="AT1" s="31" t="s">
        <v>118</v>
      </c>
      <c r="AU1" s="30" t="s">
        <v>122</v>
      </c>
      <c r="AV1" s="52" t="s">
        <v>123</v>
      </c>
      <c r="AW1" s="31" t="s">
        <v>124</v>
      </c>
      <c r="AX1" s="30" t="s">
        <v>125</v>
      </c>
      <c r="AY1" s="52" t="s">
        <v>126</v>
      </c>
      <c r="AZ1" s="31" t="s">
        <v>142</v>
      </c>
      <c r="BA1" s="30" t="s">
        <v>150</v>
      </c>
      <c r="BB1" s="52" t="s">
        <v>161</v>
      </c>
      <c r="BC1" s="31" t="s">
        <v>239</v>
      </c>
      <c r="BD1" s="30" t="s">
        <v>170</v>
      </c>
      <c r="BE1" s="52" t="s">
        <v>177</v>
      </c>
      <c r="BF1" s="31" t="s">
        <v>178</v>
      </c>
      <c r="BG1" s="30" t="s">
        <v>234</v>
      </c>
      <c r="BH1" s="52" t="s">
        <v>235</v>
      </c>
      <c r="BI1" s="31" t="s">
        <v>242</v>
      </c>
      <c r="BJ1" s="30" t="s">
        <v>255</v>
      </c>
      <c r="BK1" s="52" t="s">
        <v>258</v>
      </c>
      <c r="BL1" s="31" t="s">
        <v>259</v>
      </c>
      <c r="BM1" s="30" t="s">
        <v>264</v>
      </c>
      <c r="BN1" s="52" t="s">
        <v>282</v>
      </c>
      <c r="BO1" s="31" t="s">
        <v>283</v>
      </c>
      <c r="BP1" s="30" t="s">
        <v>284</v>
      </c>
      <c r="BQ1" s="52" t="s">
        <v>286</v>
      </c>
      <c r="BR1" s="31" t="s">
        <v>292</v>
      </c>
      <c r="BS1" s="30" t="s">
        <v>293</v>
      </c>
      <c r="BT1" s="52" t="s">
        <v>294</v>
      </c>
      <c r="BU1" s="31" t="s">
        <v>308</v>
      </c>
      <c r="BV1" s="30" t="s">
        <v>309</v>
      </c>
      <c r="BW1" s="52" t="s">
        <v>310</v>
      </c>
      <c r="BX1" s="31" t="s">
        <v>315</v>
      </c>
      <c r="BY1" s="30" t="s">
        <v>317</v>
      </c>
      <c r="BZ1" s="52" t="s">
        <v>322</v>
      </c>
      <c r="CA1" s="31" t="s">
        <v>323</v>
      </c>
      <c r="CB1" s="30" t="s">
        <v>389</v>
      </c>
      <c r="CC1" s="52" t="s">
        <v>391</v>
      </c>
      <c r="CD1" s="31" t="s">
        <v>393</v>
      </c>
      <c r="CE1" s="30" t="s">
        <v>403</v>
      </c>
      <c r="CF1" s="52" t="s">
        <v>404</v>
      </c>
      <c r="CG1" s="31" t="s">
        <v>405</v>
      </c>
      <c r="CH1" s="30" t="s">
        <v>406</v>
      </c>
      <c r="CI1" s="52" t="s">
        <v>430</v>
      </c>
      <c r="CJ1" s="31" t="s">
        <v>432</v>
      </c>
      <c r="CK1" s="30" t="s">
        <v>252</v>
      </c>
      <c r="CL1" s="52" t="s">
        <v>349</v>
      </c>
      <c r="CM1" s="31" t="s">
        <v>352</v>
      </c>
      <c r="CN1" s="30" t="s">
        <v>370</v>
      </c>
      <c r="CO1" s="52" t="s">
        <v>371</v>
      </c>
      <c r="CP1" s="31" t="s">
        <v>382</v>
      </c>
      <c r="CQ1" s="30" t="s">
        <v>383</v>
      </c>
      <c r="CR1" s="31" t="s">
        <v>384</v>
      </c>
      <c r="CS1" s="30" t="s">
        <v>188</v>
      </c>
      <c r="CT1" s="31" t="s">
        <v>207</v>
      </c>
      <c r="CU1" s="30" t="s">
        <v>208</v>
      </c>
      <c r="CV1" s="31" t="s">
        <v>209</v>
      </c>
      <c r="CW1" s="30" t="s">
        <v>210</v>
      </c>
      <c r="CX1" s="31" t="s">
        <v>211</v>
      </c>
      <c r="CY1" s="30" t="s">
        <v>212</v>
      </c>
      <c r="CZ1" s="31" t="s">
        <v>213</v>
      </c>
      <c r="DA1" s="30" t="s">
        <v>214</v>
      </c>
      <c r="DB1" s="31" t="s">
        <v>215</v>
      </c>
      <c r="DC1" s="30" t="s">
        <v>219</v>
      </c>
      <c r="DD1" s="31" t="s">
        <v>220</v>
      </c>
      <c r="DE1" s="30" t="s">
        <v>449</v>
      </c>
      <c r="DF1" s="31" t="s">
        <v>45</v>
      </c>
      <c r="DG1" s="30" t="s">
        <v>497</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606" t="s">
        <v>299</v>
      </c>
      <c r="CF4" s="1607"/>
      <c r="CG4" s="1607"/>
      <c r="CH4" s="1608"/>
    </row>
    <row r="5" spans="1:155" ht="12.75" customHeight="1" thickBot="1">
      <c r="A5" s="1576" t="str">
        <f>"Año:  " &amp;Criterios!B5 &amp; "                  Trimestre   " &amp;Criterios!D5 &amp; " al " &amp;Criterios!D6</f>
        <v>Año:  2023                  Trimestre   1 al 1</v>
      </c>
      <c r="B5" s="1578" t="s">
        <v>439</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143</v>
      </c>
      <c r="AP5" s="1559" t="s">
        <v>144</v>
      </c>
      <c r="AQ5" s="1559" t="s">
        <v>92</v>
      </c>
      <c r="AR5" s="1559" t="s">
        <v>145</v>
      </c>
      <c r="AS5" s="1562" t="s">
        <v>175</v>
      </c>
      <c r="AT5" s="1562" t="s">
        <v>176</v>
      </c>
      <c r="AU5" s="1562" t="s">
        <v>262</v>
      </c>
      <c r="AV5" s="1562" t="s">
        <v>260</v>
      </c>
      <c r="AW5" s="1562" t="s">
        <v>263</v>
      </c>
      <c r="AX5" s="1562" t="s">
        <v>261</v>
      </c>
      <c r="AY5" s="1570" t="s">
        <v>120</v>
      </c>
      <c r="AZ5" s="1571"/>
      <c r="BA5" s="1571"/>
      <c r="BB5" s="1571"/>
      <c r="BC5" s="1572"/>
      <c r="BD5" s="1570" t="s">
        <v>121</v>
      </c>
      <c r="BE5" s="1612"/>
      <c r="BF5" s="1612"/>
      <c r="BG5" s="1613"/>
      <c r="BH5" s="1559" t="s">
        <v>159</v>
      </c>
      <c r="BI5" s="1559" t="s">
        <v>160</v>
      </c>
      <c r="BJ5" s="1567" t="s">
        <v>233</v>
      </c>
      <c r="BK5" s="1620" t="s">
        <v>236</v>
      </c>
      <c r="BL5" s="1620" t="s">
        <v>243</v>
      </c>
      <c r="BM5" s="1564" t="s">
        <v>350</v>
      </c>
      <c r="BN5" s="1464" t="s">
        <v>222</v>
      </c>
      <c r="BO5" s="1465"/>
      <c r="BP5" s="1464" t="s">
        <v>223</v>
      </c>
      <c r="BQ5" s="1465"/>
      <c r="BR5" s="1464" t="s">
        <v>224</v>
      </c>
      <c r="BS5" s="1465"/>
      <c r="BT5" s="1464" t="s">
        <v>225</v>
      </c>
      <c r="BU5" s="1465"/>
      <c r="BV5" s="1617" t="s">
        <v>298</v>
      </c>
      <c r="BW5" s="1623" t="s">
        <v>278</v>
      </c>
      <c r="BX5" s="1623" t="s">
        <v>279</v>
      </c>
      <c r="BY5" s="1609" t="s">
        <v>285</v>
      </c>
      <c r="BZ5" s="1609" t="s">
        <v>388</v>
      </c>
      <c r="CA5" s="1537" t="s">
        <v>314</v>
      </c>
      <c r="CB5" s="1537" t="s">
        <v>305</v>
      </c>
      <c r="CC5" s="1537" t="s">
        <v>306</v>
      </c>
      <c r="CD5" s="1537" t="s">
        <v>307</v>
      </c>
      <c r="CE5" s="1549" t="s">
        <v>318</v>
      </c>
      <c r="CF5" s="1549" t="s">
        <v>297</v>
      </c>
      <c r="CG5" s="1549" t="s">
        <v>295</v>
      </c>
      <c r="CH5" s="1549" t="s">
        <v>296</v>
      </c>
      <c r="CI5" s="1531" t="s">
        <v>320</v>
      </c>
      <c r="CJ5" s="1531" t="s">
        <v>321</v>
      </c>
      <c r="CK5" s="1534" t="s">
        <v>466</v>
      </c>
      <c r="CL5" s="1534" t="s">
        <v>467</v>
      </c>
      <c r="CM5" s="1534" t="s">
        <v>493</v>
      </c>
      <c r="CN5" s="1550" t="s">
        <v>409</v>
      </c>
      <c r="CO5" s="1550" t="s">
        <v>402</v>
      </c>
      <c r="CP5" s="1550" t="s">
        <v>408</v>
      </c>
      <c r="CQ5" s="1553" t="s">
        <v>407</v>
      </c>
      <c r="CR5" s="1553" t="s">
        <v>407</v>
      </c>
      <c r="CS5" s="1549" t="s">
        <v>428</v>
      </c>
      <c r="CT5" s="1549" t="s">
        <v>431</v>
      </c>
      <c r="CU5" s="1549" t="s">
        <v>251</v>
      </c>
      <c r="CV5" s="1549" t="s">
        <v>344</v>
      </c>
      <c r="CW5" s="1549" t="s">
        <v>369</v>
      </c>
      <c r="CX5" s="1549" t="s">
        <v>377</v>
      </c>
      <c r="CY5" s="1549" t="s">
        <v>483</v>
      </c>
      <c r="CZ5" s="1549" t="s">
        <v>484</v>
      </c>
      <c r="DA5" s="1549" t="s">
        <v>485</v>
      </c>
      <c r="DB5" s="1546" t="s">
        <v>216</v>
      </c>
      <c r="DC5" s="1546" t="s">
        <v>217</v>
      </c>
      <c r="DD5" s="1546" t="s">
        <v>218</v>
      </c>
      <c r="DE5" s="1556" t="s">
        <v>189</v>
      </c>
      <c r="DF5" s="1556" t="s">
        <v>448</v>
      </c>
      <c r="DG5" s="1549" t="s">
        <v>494</v>
      </c>
      <c r="DH5" s="1534" t="s">
        <v>466</v>
      </c>
      <c r="DI5" s="1534" t="s">
        <v>467</v>
      </c>
      <c r="DJ5" s="1534" t="s">
        <v>492</v>
      </c>
      <c r="DK5" s="1534" t="s">
        <v>533</v>
      </c>
      <c r="DL5" s="1534" t="s">
        <v>537</v>
      </c>
      <c r="DM5" s="1626" t="s">
        <v>590</v>
      </c>
      <c r="DN5" s="1626" t="s">
        <v>591</v>
      </c>
      <c r="DO5" s="1626" t="s">
        <v>592</v>
      </c>
      <c r="DP5" s="1626" t="s">
        <v>593</v>
      </c>
      <c r="DQ5" s="1626" t="s">
        <v>594</v>
      </c>
      <c r="DR5" s="1626" t="s">
        <v>595</v>
      </c>
      <c r="DS5" s="1626" t="s">
        <v>596</v>
      </c>
      <c r="DT5" s="1626" t="s">
        <v>597</v>
      </c>
      <c r="DU5" s="1627" t="s">
        <v>598</v>
      </c>
      <c r="DV5" s="1639" t="s">
        <v>599</v>
      </c>
      <c r="DW5" s="1636" t="s">
        <v>600</v>
      </c>
      <c r="DX5" s="1626" t="s">
        <v>601</v>
      </c>
      <c r="DY5" s="1633" t="s">
        <v>602</v>
      </c>
      <c r="DZ5" s="1636" t="s">
        <v>603</v>
      </c>
      <c r="EA5" s="1633" t="s">
        <v>604</v>
      </c>
      <c r="EB5" s="1630" t="s">
        <v>648</v>
      </c>
      <c r="EC5" s="1630" t="s">
        <v>649</v>
      </c>
      <c r="ED5" s="1630" t="s">
        <v>650</v>
      </c>
      <c r="EE5" s="1630" t="s">
        <v>685</v>
      </c>
      <c r="EF5" s="1630" t="s">
        <v>689</v>
      </c>
      <c r="EG5" s="1633" t="s">
        <v>687</v>
      </c>
      <c r="EH5" s="1633" t="s">
        <v>688</v>
      </c>
      <c r="EI5" s="1633" t="s">
        <v>652</v>
      </c>
      <c r="EJ5" s="1633" t="s">
        <v>653</v>
      </c>
      <c r="EK5" s="1645" t="s">
        <v>736</v>
      </c>
      <c r="EL5" s="1648" t="s">
        <v>752</v>
      </c>
      <c r="EM5" s="1649"/>
      <c r="EN5" s="1650"/>
      <c r="EO5" s="1546" t="s">
        <v>811</v>
      </c>
      <c r="EP5" s="1546" t="s">
        <v>813</v>
      </c>
      <c r="EQ5" s="1546" t="s">
        <v>814</v>
      </c>
      <c r="ER5" s="1546" t="s">
        <v>822</v>
      </c>
      <c r="ES5" s="1546" t="s">
        <v>824</v>
      </c>
      <c r="ET5" s="1642" t="s">
        <v>895</v>
      </c>
      <c r="EU5" s="1642" t="s">
        <v>896</v>
      </c>
      <c r="EV5" s="1543" t="s">
        <v>913</v>
      </c>
      <c r="EW5" s="1543" t="s">
        <v>918</v>
      </c>
      <c r="EX5" s="1540" t="s">
        <v>940</v>
      </c>
      <c r="EY5" s="1528" t="s">
        <v>953</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119</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182</v>
      </c>
      <c r="BO6" s="1462" t="s">
        <v>183</v>
      </c>
      <c r="BP6" s="1462" t="s">
        <v>182</v>
      </c>
      <c r="BQ6" s="1462" t="s">
        <v>183</v>
      </c>
      <c r="BR6" s="1462" t="s">
        <v>182</v>
      </c>
      <c r="BS6" s="1462" t="s">
        <v>183</v>
      </c>
      <c r="BT6" s="1462" t="s">
        <v>182</v>
      </c>
      <c r="BU6" s="1462" t="s">
        <v>183</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810</v>
      </c>
      <c r="B7" s="1580"/>
      <c r="C7" s="1583"/>
      <c r="D7" s="68" t="s">
        <v>440</v>
      </c>
      <c r="E7" s="69" t="s">
        <v>138</v>
      </c>
      <c r="F7" s="69" t="s">
        <v>137</v>
      </c>
      <c r="G7" s="123" t="s">
        <v>36</v>
      </c>
      <c r="H7" s="124" t="s">
        <v>441</v>
      </c>
      <c r="I7" s="9" t="s">
        <v>18</v>
      </c>
      <c r="J7" s="10" t="s">
        <v>13</v>
      </c>
      <c r="K7" s="10" t="s">
        <v>9</v>
      </c>
      <c r="L7" s="11" t="s">
        <v>19</v>
      </c>
      <c r="M7" s="9" t="s">
        <v>7</v>
      </c>
      <c r="N7" s="10" t="s">
        <v>8</v>
      </c>
      <c r="O7" s="164" t="s">
        <v>245</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753</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442</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504</v>
      </c>
      <c r="DI8" s="52" t="s">
        <v>505</v>
      </c>
      <c r="DJ8" s="488" t="s">
        <v>506</v>
      </c>
      <c r="DK8" s="488" t="s">
        <v>534</v>
      </c>
      <c r="DL8" s="488" t="s">
        <v>535</v>
      </c>
      <c r="DM8" s="488" t="s">
        <v>605</v>
      </c>
      <c r="DN8" s="488" t="s">
        <v>606</v>
      </c>
      <c r="DO8" s="488" t="s">
        <v>607</v>
      </c>
      <c r="DP8" s="488" t="s">
        <v>608</v>
      </c>
      <c r="DQ8" s="488" t="s">
        <v>609</v>
      </c>
      <c r="DR8" s="488" t="s">
        <v>610</v>
      </c>
      <c r="DS8" s="488" t="s">
        <v>611</v>
      </c>
      <c r="DT8" s="488" t="s">
        <v>612</v>
      </c>
      <c r="DU8" s="493" t="s">
        <v>613</v>
      </c>
      <c r="DV8" s="488" t="s">
        <v>614</v>
      </c>
      <c r="DW8" s="488" t="s">
        <v>615</v>
      </c>
      <c r="DX8" s="488" t="s">
        <v>616</v>
      </c>
      <c r="DY8" s="488" t="s">
        <v>617</v>
      </c>
      <c r="DZ8" s="488" t="s">
        <v>618</v>
      </c>
      <c r="EA8" s="488" t="s">
        <v>619</v>
      </c>
      <c r="EB8" s="488" t="s">
        <v>660</v>
      </c>
      <c r="EC8" s="488" t="s">
        <v>661</v>
      </c>
      <c r="ED8" s="488" t="s">
        <v>662</v>
      </c>
      <c r="EE8" s="488" t="s">
        <v>663</v>
      </c>
      <c r="EF8" s="488" t="s">
        <v>664</v>
      </c>
      <c r="EG8" s="488" t="s">
        <v>665</v>
      </c>
      <c r="EH8" s="488" t="s">
        <v>666</v>
      </c>
      <c r="EI8" s="488" t="s">
        <v>667</v>
      </c>
      <c r="EJ8" s="488" t="s">
        <v>668</v>
      </c>
      <c r="EK8" s="488" t="s">
        <v>737</v>
      </c>
      <c r="EL8" s="749" t="s">
        <v>754</v>
      </c>
      <c r="EM8" s="749" t="s">
        <v>755</v>
      </c>
      <c r="EN8" s="749" t="s">
        <v>756</v>
      </c>
      <c r="EO8" s="52" t="s">
        <v>812</v>
      </c>
      <c r="EP8" s="52" t="s">
        <v>817</v>
      </c>
      <c r="EQ8" s="52" t="s">
        <v>818</v>
      </c>
      <c r="ER8" s="52" t="s">
        <v>823</v>
      </c>
      <c r="ES8" s="488" t="s">
        <v>825</v>
      </c>
      <c r="ET8" s="1306" t="s">
        <v>897</v>
      </c>
      <c r="EU8" s="1306" t="s">
        <v>898</v>
      </c>
      <c r="EV8" s="157" t="s">
        <v>906</v>
      </c>
      <c r="EW8" s="157">
        <v>153</v>
      </c>
      <c r="EX8" s="488" t="s">
        <v>939</v>
      </c>
      <c r="EY8" s="488" t="s">
        <v>952</v>
      </c>
    </row>
    <row r="9" spans="1:155" ht="14.25" customHeight="1">
      <c r="A9" s="20" t="s">
        <v>48</v>
      </c>
      <c r="B9" s="21" t="s">
        <v>442</v>
      </c>
      <c r="C9" s="22" t="s">
        <v>3</v>
      </c>
      <c r="D9" s="23" t="s">
        <v>20</v>
      </c>
      <c r="E9" s="21" t="s">
        <v>21</v>
      </c>
      <c r="F9" s="21">
        <v>32</v>
      </c>
      <c r="G9" s="6"/>
      <c r="H9" s="138" t="s">
        <v>271</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155</v>
      </c>
      <c r="B10" s="21" t="s">
        <v>442</v>
      </c>
      <c r="C10" s="22" t="s">
        <v>3</v>
      </c>
      <c r="D10" s="23" t="s">
        <v>85</v>
      </c>
      <c r="E10" s="21" t="s">
        <v>85</v>
      </c>
      <c r="F10" s="21" t="s">
        <v>150</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443</v>
      </c>
      <c r="B11" s="21" t="s">
        <v>442</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444</v>
      </c>
      <c r="B12" s="21" t="s">
        <v>442</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442</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442</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442</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445</v>
      </c>
      <c r="B16" s="21" t="s">
        <v>442</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444</v>
      </c>
      <c r="B17" s="21" t="s">
        <v>442</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155</v>
      </c>
      <c r="B18" s="21" t="s">
        <v>442</v>
      </c>
      <c r="C18" s="22" t="s">
        <v>3</v>
      </c>
      <c r="D18" s="23" t="s">
        <v>85</v>
      </c>
      <c r="E18" s="21" t="s">
        <v>85</v>
      </c>
      <c r="F18" s="21" t="s">
        <v>150</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446</v>
      </c>
      <c r="B19" s="21" t="s">
        <v>442</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442</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HL2s4UQEl7kLAhOLIEJdo2W99q1KRJMkLR6VedonWX9PhecOcpTLmeNZ+Y89AmoZsfp2GX4VA12Qq5Q4aQSLzA==" saltValue="atlfbj5eC26elVgomAGM/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CADIZ  Resumenes por Partidos Judiciales  JEREZ DE LA FRONTERA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390</v>
      </c>
      <c r="B5" s="277"/>
      <c r="C5" s="1424" t="str">
        <f>"Año:  " &amp;Criterios!B$5 &amp; "          Trimestre   " &amp;Criterios!D$5 &amp; " al " &amp;Criterios!D$6</f>
        <v>Año:  2023          Trimestre   1 al 1</v>
      </c>
      <c r="D5" s="1660" t="s">
        <v>416</v>
      </c>
      <c r="E5" s="1660" t="s">
        <v>620</v>
      </c>
      <c r="F5" s="1671" t="s">
        <v>447</v>
      </c>
      <c r="G5" s="1660" t="s">
        <v>140</v>
      </c>
      <c r="H5" s="1660" t="s">
        <v>650</v>
      </c>
      <c r="I5" s="1660" t="s">
        <v>621</v>
      </c>
      <c r="J5" s="1660" t="s">
        <v>730</v>
      </c>
      <c r="K5" s="1660" t="s">
        <v>622</v>
      </c>
      <c r="L5" s="1660" t="s">
        <v>590</v>
      </c>
      <c r="M5" s="1663" t="s">
        <v>648</v>
      </c>
      <c r="N5" s="1660" t="s">
        <v>785</v>
      </c>
      <c r="O5" s="1660" t="s">
        <v>745</v>
      </c>
      <c r="P5" s="1660" t="s">
        <v>189</v>
      </c>
      <c r="Q5" s="1666" t="s">
        <v>742</v>
      </c>
      <c r="R5" s="1666" t="s">
        <v>786</v>
      </c>
      <c r="S5" s="1660" t="s">
        <v>651</v>
      </c>
      <c r="T5" s="1666" t="s">
        <v>623</v>
      </c>
      <c r="U5" s="1666" t="s">
        <v>841</v>
      </c>
      <c r="V5" s="1666" t="s">
        <v>842</v>
      </c>
      <c r="W5" s="1677" t="s">
        <v>674</v>
      </c>
      <c r="X5" s="1695" t="s">
        <v>624</v>
      </c>
      <c r="Y5" s="1677" t="s">
        <v>625</v>
      </c>
      <c r="Z5" s="1677" t="s">
        <v>626</v>
      </c>
      <c r="AA5" s="1660" t="s">
        <v>746</v>
      </c>
      <c r="AB5" s="1660" t="s">
        <v>751</v>
      </c>
      <c r="AC5" s="1660" t="s">
        <v>203</v>
      </c>
      <c r="AD5" s="1683" t="s">
        <v>201</v>
      </c>
      <c r="AE5" s="1660" t="s">
        <v>747</v>
      </c>
      <c r="AF5" s="1686" t="s">
        <v>748</v>
      </c>
      <c r="AG5" s="1689" t="s">
        <v>599</v>
      </c>
      <c r="AH5" s="1660" t="s">
        <v>600</v>
      </c>
      <c r="AI5" s="1660" t="s">
        <v>672</v>
      </c>
      <c r="AJ5" s="1692" t="s">
        <v>673</v>
      </c>
      <c r="AK5" s="1689" t="s">
        <v>204</v>
      </c>
      <c r="AL5" s="1660" t="s">
        <v>630</v>
      </c>
      <c r="AM5" s="1660" t="s">
        <v>273</v>
      </c>
      <c r="AN5" s="1660" t="s">
        <v>274</v>
      </c>
      <c r="AO5" s="1660" t="s">
        <v>275</v>
      </c>
      <c r="AP5" s="1660" t="s">
        <v>631</v>
      </c>
      <c r="AQ5" s="1660" t="s">
        <v>276</v>
      </c>
      <c r="AR5" s="1660" t="s">
        <v>632</v>
      </c>
      <c r="AS5" s="1660" t="s">
        <v>633</v>
      </c>
      <c r="AT5" s="1660" t="s">
        <v>634</v>
      </c>
      <c r="AU5" s="1660" t="s">
        <v>659</v>
      </c>
      <c r="AV5" s="1660" t="s">
        <v>652</v>
      </c>
      <c r="AW5" s="1660" t="s">
        <v>914</v>
      </c>
      <c r="AX5" s="1660" t="s">
        <v>917</v>
      </c>
      <c r="AY5" s="1660" t="s">
        <v>919</v>
      </c>
      <c r="AZ5" s="1660" t="s">
        <v>653</v>
      </c>
      <c r="BA5" s="1660" t="s">
        <v>953</v>
      </c>
      <c r="BB5" s="1660" t="s">
        <v>635</v>
      </c>
      <c r="BC5" s="1660" t="s">
        <v>598</v>
      </c>
      <c r="BW5" s="1660" t="s">
        <v>843</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272</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272</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272</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272</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272</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0.22434891747725133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436</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436</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436</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436</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290</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291</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0.15863864090002558</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465</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288</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289</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id5+x8E0vRNcTfUTkv5jKZyaa21OVAJRLmmoS34QRJj6NggeVh9+nEvKc+qN488Obo8/Fi3LmaikHpAWOrYkXA==" saltValue="qk3iuS8d44ZMoqlLgyoF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891</v>
      </c>
    </row>
    <row r="3" spans="2:5" ht="16.5" customHeight="1" thickBot="1">
      <c r="B3" s="1305" t="s">
        <v>892</v>
      </c>
      <c r="C3" s="1305" t="s">
        <v>893</v>
      </c>
      <c r="D3" s="1305" t="s">
        <v>894</v>
      </c>
      <c r="E3" s="1313" t="s">
        <v>899</v>
      </c>
    </row>
  </sheetData>
  <sheetProtection algorithmName="SHA-512" hashValue="2HiQb5N5OI9VjzdEUeF4i4aajTLCE5Hx1j+CBk2PM7uvGahfpz30HG//CMBYgSGVRQx6EYf6Op1USJdnUThFaw==" saltValue="TnSFFTOazdHG8pAnKcUT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127</v>
      </c>
      <c r="B3" s="403" t="str">
        <f>Criterios!A10 &amp;"  "&amp;Criterios!B10</f>
        <v>Provincias  CADIZ</v>
      </c>
      <c r="D3" s="400"/>
      <c r="E3" s="400"/>
      <c r="F3" s="400"/>
    </row>
    <row r="4" spans="1:14" ht="13.5" thickBot="1">
      <c r="A4" s="400"/>
      <c r="B4" s="403" t="str">
        <f>Criterios!A11 &amp;"  "&amp;Criterios!B11</f>
        <v>Resumenes por Partidos Judiciales  JEREZ DE LA FRONTERA</v>
      </c>
      <c r="C4" s="400"/>
      <c r="D4" s="400"/>
      <c r="E4" s="400"/>
      <c r="F4" s="400"/>
    </row>
    <row r="5" spans="1:14" ht="15.75" customHeight="1">
      <c r="A5" s="1357" t="str">
        <f>"Año:  " &amp;Criterios!B5 &amp; "     Trimestre   " &amp;Criterios!D5 &amp; " al " &amp;Criterios!D6</f>
        <v>Año:  2023     Trimestre   1 al 1</v>
      </c>
      <c r="B5" s="938" t="s">
        <v>128</v>
      </c>
      <c r="C5" s="1359" t="s">
        <v>140</v>
      </c>
      <c r="D5" s="1360"/>
      <c r="E5" s="1359" t="s">
        <v>95</v>
      </c>
      <c r="F5" s="1360"/>
      <c r="G5" s="1359" t="s">
        <v>9</v>
      </c>
      <c r="H5" s="1360"/>
      <c r="I5" s="1359" t="s">
        <v>141</v>
      </c>
      <c r="J5" s="1360"/>
      <c r="K5" s="1366" t="s">
        <v>816</v>
      </c>
      <c r="L5" s="1350" t="s">
        <v>865</v>
      </c>
      <c r="M5" s="1350" t="s">
        <v>941</v>
      </c>
      <c r="N5" s="1353" t="s">
        <v>815</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810</v>
      </c>
      <c r="B7" s="405" t="s">
        <v>129</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7</v>
      </c>
      <c r="C9" s="415">
        <f>IF(ISNUMBER(IF(J_V="SI",Datos!I9,Datos!I9+Datos!Y9)),IF(J_V="SI",Datos!I9,Datos!I9+Datos!Y9)," - ")</f>
        <v>5970</v>
      </c>
      <c r="D9" s="416">
        <f>IF(ISNUMBER(C9/Datos!BH9),C9/Datos!BH9," - ")</f>
        <v>995</v>
      </c>
      <c r="E9" s="415">
        <f>IF(ISNUMBER(IF(J_V="SI",Datos!J9,Datos!J9+Datos!Z9)),IF(J_V="SI",Datos!J9,Datos!J9+Datos!Z9)," - ")</f>
        <v>3179</v>
      </c>
      <c r="F9" s="416">
        <f>IF(ISNUMBER(E9/B9),E9/B9," - ")</f>
        <v>454.14285714285717</v>
      </c>
      <c r="G9" s="415">
        <f>IF(ISNUMBER(IF(J_V="SI",Datos!K9,Datos!K9+Datos!AA9)),IF(J_V="SI",Datos!K9,Datos!K9+Datos!AA9)," - ")</f>
        <v>2694</v>
      </c>
      <c r="H9" s="416">
        <f>IF(ISNUMBER(G9/B9),G9/B9," - ")</f>
        <v>384.85714285714283</v>
      </c>
      <c r="I9" s="415">
        <f>IF(ISNUMBER(IF(J_V="SI",Datos!L9,Datos!L9+Datos!AB9)),IF(J_V="SI",Datos!L9,Datos!L9+Datos!AB9)," - ")</f>
        <v>6455</v>
      </c>
      <c r="J9" s="416">
        <f>IF(ISNUMBER(I9/B9),I9/B9," - ")</f>
        <v>922.14285714285711</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134</v>
      </c>
      <c r="D10" s="416">
        <f>IF(ISNUMBER(C10/Datos!BH10),C10/Datos!BH10," - ")</f>
        <v>134</v>
      </c>
      <c r="E10" s="415">
        <f>IF(ISNUMBER(Datos!J10),Datos!J10," - ")</f>
        <v>64</v>
      </c>
      <c r="F10" s="416">
        <f>IF(ISNUMBER(E10/B10),E10/B10," - ")</f>
        <v>64</v>
      </c>
      <c r="G10" s="415">
        <f>IF(ISNUMBER(Datos!K10),Datos!K10," - ")</f>
        <v>59</v>
      </c>
      <c r="H10" s="416">
        <f>IF(ISNUMBER(G10/B10),G10/B10," - ")</f>
        <v>59</v>
      </c>
      <c r="I10" s="415">
        <f>IF(ISNUMBER(Datos!L10),Datos!L10," - ")</f>
        <v>136</v>
      </c>
      <c r="J10" s="416">
        <f>IF(ISNUMBER(I10/B10),I10/B10," - ")</f>
        <v>136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1</v>
      </c>
      <c r="C11" s="415">
        <f>IF(ISNUMBER(IF(J_V="SI",Datos!I11,Datos!I11+Datos!Y11)),IF(J_V="SI",Datos!I11,Datos!I11+Datos!Y11)," - ")</f>
        <v>1103</v>
      </c>
      <c r="D11" s="416">
        <f>IF(ISNUMBER(C11/Datos!BH11),C11/Datos!BH11," - ")</f>
        <v>1103</v>
      </c>
      <c r="E11" s="415">
        <f>IF(ISNUMBER(IF(J_V="SI",Datos!J11,Datos!J11+Datos!Z11)),IF(J_V="SI",Datos!J11,Datos!J11+Datos!Z11)," - ")</f>
        <v>339</v>
      </c>
      <c r="F11" s="416">
        <f>IF(ISNUMBER(E11/B11),E11/B11," - ")</f>
        <v>339</v>
      </c>
      <c r="G11" s="415">
        <f>IF(ISNUMBER(IF(J_V="SI",Datos!K11,Datos!K11+Datos!AA11)),IF(J_V="SI",Datos!K11,Datos!K11+Datos!AA11)," - ")</f>
        <v>434</v>
      </c>
      <c r="H11" s="416">
        <f>IF(ISNUMBER(G11/B11),G11/B11," - ")</f>
        <v>434</v>
      </c>
      <c r="I11" s="415">
        <f>IF(ISNUMBER(IF(J_V="SI",Datos!L11,Datos!L11+Datos!AB11)),IF(J_V="SI",Datos!L11,Datos!L11+Datos!AB11)," - ")</f>
        <v>1008</v>
      </c>
      <c r="J11" s="416">
        <f>IF(ISNUMBER(I11/B11),I11/B11," - ")</f>
        <v>1008</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0</v>
      </c>
      <c r="C12" s="415" t="str">
        <f>IF(ISNUMBER(IF(J_V="SI",Datos!I12,Datos!I12+Datos!Y12)),IF(J_V="SI",Datos!I12,Datos!I12+Datos!Y12)," - ")</f>
        <v xml:space="preserve"> - </v>
      </c>
      <c r="D12" s="416" t="str">
        <f>IF(ISNUMBER(C12/Datos!BH12),C12/Datos!BH12," - ")</f>
        <v xml:space="preserve"> - </v>
      </c>
      <c r="E12" s="415" t="str">
        <f>IF(ISNUMBER(IF(J_V="SI",Datos!J12,Datos!J12+Datos!Z12)),IF(J_V="SI",Datos!J12,Datos!J12+Datos!Z12)," - ")</f>
        <v xml:space="preserve"> - </v>
      </c>
      <c r="F12" s="416" t="str">
        <f>IF(ISNUMBER(E12/B12),E12/B12," - ")</f>
        <v xml:space="preserve"> - </v>
      </c>
      <c r="G12" s="415" t="str">
        <f>IF(ISNUMBER(IF(J_V="SI",Datos!K12,Datos!K12+Datos!AA12)),IF(J_V="SI",Datos!K12,Datos!K12+Datos!AA12)," - ")</f>
        <v xml:space="preserve"> - </v>
      </c>
      <c r="H12" s="416" t="str">
        <f>IF(ISNUMBER(G12/B12),G12/B12," - ")</f>
        <v xml:space="preserve"> - </v>
      </c>
      <c r="I12" s="415" t="str">
        <f>IF(ISNUMBER(IF(J_V="SI",Datos!L12,Datos!L12+Datos!AB12)),IF(J_V="SI",Datos!L12,Datos!L12+Datos!AB12)," - ")</f>
        <v xml:space="preserve"> - </v>
      </c>
      <c r="J12" s="416" t="str">
        <f>IF(ISNUMBER(I12/B12),I12/B12," - ")</f>
        <v xml:space="preserve"> - </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1</v>
      </c>
      <c r="C13" s="415">
        <f>IF(ISNUMBER(Datos!I13),Datos!I13," - ")</f>
        <v>0</v>
      </c>
      <c r="D13" s="416">
        <f>IF(ISNUMBER(C13/Datos!BH13),C13/Datos!BH13," - ")</f>
        <v>0</v>
      </c>
      <c r="E13" s="415">
        <f>IF(ISNUMBER(Datos!J13),Datos!J13," - ")</f>
        <v>0</v>
      </c>
      <c r="F13" s="416">
        <f>IF(ISNUMBER(E13/B13),E13/B13," - ")</f>
        <v>0</v>
      </c>
      <c r="G13" s="415">
        <f>IF(ISNUMBER(Datos!K13),Datos!K13," - ")</f>
        <v>0</v>
      </c>
      <c r="H13" s="416">
        <f>IF(ISNUMBER(G13/B13),G13/B13," - ")</f>
        <v>0</v>
      </c>
      <c r="I13" s="415">
        <f>IF(ISNUMBER(Datos!L13),Datos!L13," - ")</f>
        <v>0</v>
      </c>
      <c r="J13" s="416">
        <f>IF(ISNUMBER(I13/B13),I13/B13," - ")</f>
        <v>0</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10</v>
      </c>
      <c r="C14" s="996">
        <f>SUBTOTAL(9,C8:C13)</f>
        <v>7207</v>
      </c>
      <c r="D14" s="997" t="str">
        <f>IF(ISNUMBER(C14/Datos!BI14),C14/Datos!BI14," - ")</f>
        <v xml:space="preserve"> - </v>
      </c>
      <c r="E14" s="996">
        <f>SUBTOTAL(9,E8:E13)</f>
        <v>3582</v>
      </c>
      <c r="F14" s="997">
        <f>IF(ISNUMBER(E14/B14),E14/B14," - ")</f>
        <v>358.2</v>
      </c>
      <c r="G14" s="996">
        <f>SUBTOTAL(9,G8:G13)</f>
        <v>3187</v>
      </c>
      <c r="H14" s="997">
        <f>IF(ISNUMBER(G14/B14),G14/B14," - ")</f>
        <v>318.7</v>
      </c>
      <c r="I14" s="996">
        <f>SUBTOTAL(9,I8:I13)</f>
        <v>7599</v>
      </c>
      <c r="J14" s="997">
        <f>IF(ISNUMBER(I14/B14),I14/B14," - ")</f>
        <v>759.9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5</v>
      </c>
      <c r="C16" s="415">
        <f>IF(ISNUMBER(IF(D_I="SI",Datos!I16,Datos!I16+Datos!AC16)),IF(D_I="SI",Datos!I16,Datos!I16+Datos!AC16)," - ")</f>
        <v>1832</v>
      </c>
      <c r="D16" s="416">
        <f>IF(ISNUMBER(C16/Datos!BH16),C16/Datos!BH16," - ")</f>
        <v>366.4</v>
      </c>
      <c r="E16" s="415">
        <f>IF(ISNUMBER(IF(D_I="SI",Datos!J16,Datos!J16+Datos!AD16)),IF(D_I="SI",Datos!J16,Datos!J16+Datos!AD16)," - ")</f>
        <v>2235</v>
      </c>
      <c r="F16" s="416">
        <f>IF(ISNUMBER(E16/B16),E16/B16," - ")</f>
        <v>447</v>
      </c>
      <c r="G16" s="415">
        <f>IF(ISNUMBER(IF(D_I="SI",Datos!K16,Datos!K16+Datos!AE16)),IF(D_I="SI",Datos!K16,Datos!K16+Datos!AE16)," - ")</f>
        <v>1923</v>
      </c>
      <c r="H16" s="416">
        <f>IF(ISNUMBER(G16/B16),G16/B16," - ")</f>
        <v>384.6</v>
      </c>
      <c r="I16" s="415">
        <f>IF(ISNUMBER(IF(D_I="SI",Datos!L16,Datos!L16+Datos!AF16)),IF(D_I="SI",Datos!L16,Datos!L16+Datos!AF16)," - ")</f>
        <v>2157</v>
      </c>
      <c r="J16" s="416">
        <f>IF(ISNUMBER(I16/B16),I16/B16," - ")</f>
        <v>431.4</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0</v>
      </c>
      <c r="C17" s="415" t="str">
        <f>IF(ISNUMBER(IF(D_I="SI",Datos!I17,Datos!I17+Datos!AC17)),IF(D_I="SI",Datos!I17,Datos!I17+Datos!AC17)," - ")</f>
        <v xml:space="preserve"> - </v>
      </c>
      <c r="D17" s="416" t="str">
        <f>IF(ISNUMBER(C17/Datos!BH17),C17/Datos!BH17," - ")</f>
        <v xml:space="preserve"> - </v>
      </c>
      <c r="E17" s="415" t="str">
        <f>IF(ISNUMBER(IF(D_I="SI",Datos!J17,Datos!J17+Datos!AD17)),IF(D_I="SI",Datos!J17,Datos!J17+Datos!AD17)," - ")</f>
        <v xml:space="preserve"> - </v>
      </c>
      <c r="F17" s="416" t="str">
        <f>IF(ISNUMBER(E17/B17),E17/B17," - ")</f>
        <v xml:space="preserve"> - </v>
      </c>
      <c r="G17" s="415" t="str">
        <f>IF(ISNUMBER(IF(D_I="SI",Datos!K17,Datos!K17+Datos!AE17)),IF(D_I="SI",Datos!K17,Datos!K17+Datos!AE17)," - ")</f>
        <v xml:space="preserve"> - </v>
      </c>
      <c r="H17" s="416" t="str">
        <f>IF(ISNUMBER(G17/B17),G17/B17," - ")</f>
        <v xml:space="preserve"> - </v>
      </c>
      <c r="I17" s="415" t="str">
        <f>IF(ISNUMBER(IF(D_I="SI",Datos!L17,Datos!L17+Datos!AF17)),IF(D_I="SI",Datos!L17,Datos!L17+Datos!AF17)," - ")</f>
        <v xml:space="preserve"> - </v>
      </c>
      <c r="J17" s="416" t="str">
        <f>IF(ISNUMBER(I17/B17),I17/B17," - ")</f>
        <v xml:space="preserve"> - </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276</v>
      </c>
      <c r="D18" s="416">
        <f>IF(ISNUMBER(C18/Datos!BH18),C18/Datos!BH18," - ")</f>
        <v>276</v>
      </c>
      <c r="E18" s="415">
        <f>IF(ISNUMBER(IF(D_I="SI",Datos!J18,Datos!J18+Datos!AD18)),IF(D_I="SI",Datos!J18,Datos!J18+Datos!AD18)," - ")</f>
        <v>352</v>
      </c>
      <c r="F18" s="416">
        <f>IF(ISNUMBER(E18/B18),E18/B18," - ")</f>
        <v>352</v>
      </c>
      <c r="G18" s="415">
        <f>IF(ISNUMBER(IF(D_I="SI",Datos!K18,Datos!K18+Datos!AE18)),IF(D_I="SI",Datos!K18,Datos!K18+Datos!AE18)," - ")</f>
        <v>346</v>
      </c>
      <c r="H18" s="416">
        <f>IF(ISNUMBER(G18/B18),G18/B18," - ")</f>
        <v>346</v>
      </c>
      <c r="I18" s="415">
        <f>IF(ISNUMBER(IF(D_I="SI",Datos!L18,Datos!L18+Datos!AF18)),IF(D_I="SI",Datos!L18,Datos!L18+Datos!AF18)," - ")</f>
        <v>282</v>
      </c>
      <c r="J18" s="416">
        <f>IF(ISNUMBER(I18/B18),I18/B18," - ")</f>
        <v>282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1</v>
      </c>
      <c r="C19" s="415">
        <f>IF(ISNUMBER(Datos!I19),Datos!I19," - ")</f>
        <v>110</v>
      </c>
      <c r="D19" s="416">
        <f>IF(ISNUMBER(C19/Datos!BH19),C19/Datos!BH19," - ")</f>
        <v>110</v>
      </c>
      <c r="E19" s="415">
        <f>IF(ISNUMBER(Datos!J19),Datos!J19," - ")</f>
        <v>61</v>
      </c>
      <c r="F19" s="416">
        <f>IF(ISNUMBER(E19/B19),E19/B19," - ")</f>
        <v>61</v>
      </c>
      <c r="G19" s="415">
        <f>IF(ISNUMBER(Datos!K19),Datos!K19," - ")</f>
        <v>82</v>
      </c>
      <c r="H19" s="416">
        <f>IF(ISNUMBER(G19/B19),G19/B19," - ")</f>
        <v>82</v>
      </c>
      <c r="I19" s="415">
        <f>IF(ISNUMBER(Datos!L19),Datos!L19," - ")</f>
        <v>89</v>
      </c>
      <c r="J19" s="416">
        <f>IF(ISNUMBER(I19/B19),I19/B19," - ")</f>
        <v>89</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7</v>
      </c>
      <c r="C20" s="996">
        <f>SUBTOTAL(9,C15:C19)</f>
        <v>2218</v>
      </c>
      <c r="D20" s="997" t="str">
        <f>IF(ISNUMBER(C20/Datos!BI20),C20/Datos!BI20," - ")</f>
        <v xml:space="preserve"> - </v>
      </c>
      <c r="E20" s="996">
        <f>SUBTOTAL(9,E15:E19)</f>
        <v>2648</v>
      </c>
      <c r="F20" s="997">
        <f>IF(ISNUMBER(E20/B20),E20/B20," - ")</f>
        <v>378.28571428571428</v>
      </c>
      <c r="G20" s="996">
        <f>SUBTOTAL(9,G15:G19)</f>
        <v>2351</v>
      </c>
      <c r="H20" s="997">
        <f>IF(ISNUMBER(G20/B20),G20/B20," - ")</f>
        <v>335.85714285714283</v>
      </c>
      <c r="I20" s="996">
        <f>SUBTOTAL(9,I15:I19)</f>
        <v>2528</v>
      </c>
      <c r="J20" s="997">
        <f>IF(ISNUMBER(I20/B20),I20/B20," - ")</f>
        <v>361.14285714285717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15</v>
      </c>
      <c r="C21" s="941">
        <f>SUBTOTAL(9,C9:C20)</f>
        <v>9425</v>
      </c>
      <c r="D21" s="942" t="str">
        <f>IF(ISNUMBER(C21/Datos!BI21),C21/Datos!BI21," - ")</f>
        <v xml:space="preserve"> - </v>
      </c>
      <c r="E21" s="941">
        <f>SUBTOTAL(9,E9:E20)</f>
        <v>6230</v>
      </c>
      <c r="F21" s="942">
        <f>IF(ISNUMBER(E21/B21),E21/B21," - ")</f>
        <v>415.33333333333331</v>
      </c>
      <c r="G21" s="941">
        <f>SUBTOTAL(9,G9:G20)</f>
        <v>5538</v>
      </c>
      <c r="H21" s="942">
        <f>IF(ISNUMBER(G21/B21),G21/B21," - ")</f>
        <v>369.2</v>
      </c>
      <c r="I21" s="941">
        <f>SUBTOTAL(9,I9:I20)</f>
        <v>10127</v>
      </c>
      <c r="J21" s="942">
        <f>IF(ISNUMBER(I21/B21),I21/B21," - ")</f>
        <v>675.13333333333333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wR2accgBairDb/5sISzzyhOI4lZ/soQ7WM2HTBp/ua+bIUWB0HXdHprDPQC6AiyArtTnUtwR+vOrjwfi9lG7mw==" saltValue="Bee4kixWsQCooSeD4vCtI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CADIZ  Resumenes por Partidos Judiciales  JEREZ DE LA FRONTERA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390</v>
      </c>
      <c r="B5" s="277"/>
      <c r="C5" s="1424" t="str">
        <f>"Año:  " &amp;Criterios!B$5 &amp; "          Trimestre   " &amp;Criterios!D$5 &amp; " al " &amp;Criterios!D$6</f>
        <v>Año:  2023          Trimestre   1 al 1</v>
      </c>
      <c r="D5" s="1660" t="s">
        <v>465</v>
      </c>
      <c r="E5" s="1660" t="s">
        <v>620</v>
      </c>
      <c r="F5" s="1671" t="s">
        <v>447</v>
      </c>
      <c r="G5" s="1660" t="s">
        <v>140</v>
      </c>
      <c r="H5" s="1660" t="s">
        <v>759</v>
      </c>
      <c r="I5" s="1660" t="s">
        <v>760</v>
      </c>
      <c r="J5" s="1660" t="s">
        <v>763</v>
      </c>
      <c r="K5" s="1660" t="s">
        <v>764</v>
      </c>
      <c r="L5" s="1660" t="s">
        <v>648</v>
      </c>
      <c r="M5" s="1660" t="s">
        <v>785</v>
      </c>
      <c r="N5" s="1660" t="s">
        <v>765</v>
      </c>
      <c r="O5" s="1660" t="s">
        <v>761</v>
      </c>
      <c r="P5" s="1660" t="s">
        <v>189</v>
      </c>
      <c r="Q5" s="1660" t="s">
        <v>742</v>
      </c>
      <c r="R5" s="1660" t="s">
        <v>786</v>
      </c>
      <c r="S5" s="1660" t="str">
        <f>"Ingreso Computable 2003" &amp; IF(OR(EXACT(LEFT(boletin,2),"04"),EXACT(LEFT(boletin,2),"14"),EXACT(LEFT(boletin,2),"17"))," (Civil + Penal)","")</f>
        <v>Ingreso Computable 2003</v>
      </c>
      <c r="T5" s="1660" t="s">
        <v>762</v>
      </c>
      <c r="U5" s="1666" t="str">
        <f>"% Ingreso Computable 2003" &amp; IF(OR(EXACT(LEFT(boletin,2),"04"),EXACT(LEFT(boletin,2),"14"),EXACT(LEFT(boletin,2),"17"))," (Civil + Penal)","")</f>
        <v>% Ingreso Computable 2003</v>
      </c>
      <c r="V5" s="1666" t="s">
        <v>766</v>
      </c>
      <c r="W5" s="1660" t="s">
        <v>835</v>
      </c>
      <c r="X5" s="1660" t="s">
        <v>836</v>
      </c>
      <c r="Y5" s="1680" t="s">
        <v>733</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767</v>
      </c>
      <c r="AC5" s="1717" t="s">
        <v>768</v>
      </c>
      <c r="AD5" s="1717" t="s">
        <v>769</v>
      </c>
      <c r="AE5" s="1717" t="s">
        <v>770</v>
      </c>
      <c r="AF5" s="1660" t="s">
        <v>771</v>
      </c>
      <c r="AG5" s="1660" t="s">
        <v>772</v>
      </c>
      <c r="AH5" s="1660" t="s">
        <v>773</v>
      </c>
      <c r="AI5" s="1660" t="s">
        <v>774</v>
      </c>
      <c r="AJ5" s="1660" t="s">
        <v>203</v>
      </c>
      <c r="AK5" s="1689" t="s">
        <v>599</v>
      </c>
      <c r="AL5" s="1689" t="s">
        <v>204</v>
      </c>
      <c r="AM5" s="1660" t="s">
        <v>630</v>
      </c>
      <c r="AN5" s="1660" t="s">
        <v>273</v>
      </c>
      <c r="AO5" s="1660" t="s">
        <v>274</v>
      </c>
      <c r="AP5" s="1660" t="s">
        <v>775</v>
      </c>
      <c r="AQ5" s="1660" t="s">
        <v>776</v>
      </c>
      <c r="AR5" s="1660" t="s">
        <v>777</v>
      </c>
      <c r="AS5" s="1660" t="s">
        <v>778</v>
      </c>
      <c r="AT5" s="1660" t="s">
        <v>779</v>
      </c>
      <c r="AU5" s="1660" t="s">
        <v>780</v>
      </c>
      <c r="AV5" s="1660" t="s">
        <v>781</v>
      </c>
      <c r="AW5" s="1660" t="s">
        <v>782</v>
      </c>
      <c r="AX5" s="1660" t="s">
        <v>914</v>
      </c>
      <c r="AY5" s="1660" t="s">
        <v>917</v>
      </c>
      <c r="AZ5" s="1660" t="s">
        <v>783</v>
      </c>
      <c r="BA5" s="1660" t="s">
        <v>784</v>
      </c>
      <c r="BB5" s="1660" t="s">
        <v>598</v>
      </c>
      <c r="BC5" s="1486" t="s">
        <v>791</v>
      </c>
      <c r="BD5" s="1486" t="s">
        <v>792</v>
      </c>
      <c r="BE5" s="1671" t="s">
        <v>793</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7</v>
      </c>
      <c r="B9" s="653" t="s">
        <v>272</v>
      </c>
      <c r="C9" s="671" t="str">
        <f>Datos!A9</f>
        <v xml:space="preserve">Jdos. 1ª Instancia   </v>
      </c>
      <c r="D9" s="544"/>
      <c r="E9" s="801">
        <f>IF(ISNUMBER(Datos!AQ9),Datos!AQ9," - ")</f>
        <v>7</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272</v>
      </c>
      <c r="C10" s="655" t="str">
        <f>Datos!A10</f>
        <v>Jdos. Violencia contra la mujer</v>
      </c>
      <c r="D10" s="549"/>
      <c r="E10" s="801">
        <f>IF(ISNUMBER(Datos!AQ10),Datos!AQ10," - ")</f>
        <v>1</v>
      </c>
      <c r="F10" s="802">
        <f>IF(ISNUMBER(Datos!L10+Datos!K10-Datos!J10),Datos!L10+Datos!K10-Datos!J10," - ")</f>
        <v>131</v>
      </c>
      <c r="G10" s="803">
        <f>IF(ISNUMBER(Datos!I10),Datos!I10," - ")</f>
        <v>134</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21</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f>IF(ISNUMBER(DatosP!AS18/E10),DatosP!AS18/E10," - ")</f>
        <v>0</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59</v>
      </c>
      <c r="AC10" s="802" t="str">
        <f>IF(ISNUMBER(IF(D_I="SI",DatosP!K18,DatosP!K18+DatosP!AE18)),IF(D_I="SI",DatosP!K18,DatosP!K18+DatosP!AE18)," - ")</f>
        <v xml:space="preserve"> - </v>
      </c>
      <c r="AD10" s="804"/>
      <c r="AE10" s="804"/>
      <c r="AF10" s="807">
        <f>IF(ISNUMBER(Datos!L10),Datos!L10,"-")</f>
        <v>136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27</v>
      </c>
      <c r="AM10" s="811">
        <f>IF(ISNUMBER(Datos!N10+DatosP!N18),Datos!N10+DatosP!N18," - ")</f>
        <v>21</v>
      </c>
      <c r="AN10" s="811">
        <f>IF(ISNUMBER(Datos!BW10+DatosP!BW18),Datos!BW10+DatosP!BW18," - ")</f>
        <v>0</v>
      </c>
      <c r="AO10" s="812">
        <f>IF(ISNUMBER(Datos!BX10+DatosP!BX18),Datos!BX10+DatosP!BX18," - ")</f>
        <v>0</v>
      </c>
      <c r="AP10" s="814">
        <f>IF(ISNUMBER(((Datos!L10/Datos!K10)*11)/factor_trimestre),((Datos!L10/Datos!K10)*11)/factor_trimestre," - ")</f>
        <v>6.9152542372881358</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1</v>
      </c>
      <c r="B11" s="654" t="s">
        <v>272</v>
      </c>
      <c r="C11" s="655" t="str">
        <f>Datos!A11</f>
        <v xml:space="preserve">Jdos. Familia                                   </v>
      </c>
      <c r="D11" s="549"/>
      <c r="E11" s="801">
        <f>IF(ISNUMBER(Datos!AQ11),Datos!AQ11," - ")</f>
        <v>1</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0</v>
      </c>
      <c r="B12" s="654" t="s">
        <v>272</v>
      </c>
      <c r="C12" s="655" t="str">
        <f>Datos!A12</f>
        <v xml:space="preserve">Jdos. 1ª Instª. e Instr.                        </v>
      </c>
      <c r="D12" s="549"/>
      <c r="E12" s="801">
        <f>IF(ISNUMBER(Datos!AQ12),Datos!AQ12," - ")</f>
        <v>0</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0</v>
      </c>
      <c r="O12" s="804">
        <f>IF(ISNUMBER(DatosP!P17),DatosP!P17,0)</f>
        <v>0</v>
      </c>
      <c r="P12" s="804" t="str">
        <f>IF(ISNUMBER(DatosP!DE17),DatosP!DE17," - ")</f>
        <v xml:space="preserve"> - </v>
      </c>
      <c r="Q12" s="805"/>
      <c r="R12" s="805"/>
      <c r="S12" s="804" t="str">
        <f>IF(ISNUMBER(Datos!AS12*(2500/380)+DatosP!AS17),Datos!AS12*(2500/380)+DatosP!AS17," - ")</f>
        <v xml:space="preserve"> - </v>
      </c>
      <c r="T12" s="804" t="str">
        <f>IF(ISNUMBER(DatosP!AS17/E12),DatosP!AS17/E12," - ")</f>
        <v xml:space="preserve"> - </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t="str">
        <f>IF(ISNUMBER(Datos!Q12),Datos!Q12," - ")</f>
        <v xml:space="preserve"> - </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t="str">
        <f>IF(ISNUMBER(Datos!R12),Datos!R12," - ")</f>
        <v xml:space="preserve"> - </v>
      </c>
      <c r="AI12" s="808" t="str">
        <f>IF(ISNUMBER(DatosP!R17),DatosP!R17," - ")</f>
        <v xml:space="preserve"> - </v>
      </c>
      <c r="AJ12" s="801">
        <f>IF(ISNUMBER(Datos!BV12+DatosP!BV17),Datos!BV12+DatosP!BV17," - ")</f>
        <v>0</v>
      </c>
      <c r="AK12" s="809" t="str">
        <f>IF(ISNUMBER(Datos!DV12),Datos!DV12," - ")</f>
        <v xml:space="preserve"> - </v>
      </c>
      <c r="AL12" s="802" t="str">
        <f>IF(ISNUMBER(Datos!M12+DatosP!M17),Datos!M12+DatosP!M17," - ")</f>
        <v xml:space="preserve"> - </v>
      </c>
      <c r="AM12" s="811" t="str">
        <f>IF(ISNUMBER(Datos!N12+DatosP!N17),Datos!N12+DatosP!N17," - ")</f>
        <v xml:space="preserve"> - </v>
      </c>
      <c r="AN12" s="811">
        <f>IF(ISNUMBER(Datos!BW12+DatosP!BW17),Datos!BW12+DatosP!BW17," - ")</f>
        <v>0</v>
      </c>
      <c r="AO12" s="812">
        <f>IF(ISNUMBER(Datos!BX12+DatosP!BX17),Datos!BX12+DatosP!BX17," - ")</f>
        <v>0</v>
      </c>
      <c r="AP12" s="814" t="str">
        <f>IF(ISNUMBER(((IF(J_V="SI",Datos!L12/Datos!K12,(Datos!L12+Datos!AB12)/(Datos!K12+Datos!AA12)))*11)/factor_trimestre),((IF(J_V="SI",Datos!L12/Datos!K12,(Datos!L12+Datos!AB12)/(Datos!K12+Datos!AA12)))*11)/factor_trimestre," - ")</f>
        <v xml:space="preserve"> - </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t="str">
        <f>IF(ISNUMBER((Datos!P12-Datos!Q12+Datos!DE12)/(Datos!R12-Datos!P12+Datos!Q12-Datos!DE12)),(Datos!P12-Datos!Q12+Datos!DE12)/(Datos!R12-Datos!P12+Datos!Q12-Datos!DE12)," - ")</f>
        <v xml:space="preserve"> - </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1</v>
      </c>
      <c r="B13" s="654" t="s">
        <v>272</v>
      </c>
      <c r="C13" s="655" t="str">
        <f>Datos!A13</f>
        <v xml:space="preserve">Jdos. de Menores    </v>
      </c>
      <c r="D13" s="549"/>
      <c r="E13" s="801">
        <f>IF(ISNUMBER(Datos!AQ13),Datos!AQ13," - ")</f>
        <v>1</v>
      </c>
      <c r="F13" s="802">
        <f>IF(ISNUMBER(Datos!L13+Datos!K13-Datos!J13),Datos!L13+Datos!K13-Datos!J13," - ")</f>
        <v>0</v>
      </c>
      <c r="G13" s="803">
        <f>IF(ISNUMBER(Datos!I13),Datos!I13," - ")</f>
        <v>0</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f>IF(ISNUMBER(Datos!L13),Datos!L13,"-")</f>
        <v>0</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10</v>
      </c>
      <c r="F14" s="1085">
        <f t="shared" si="0"/>
        <v>131</v>
      </c>
      <c r="G14" s="1085">
        <f t="shared" si="0"/>
        <v>134</v>
      </c>
      <c r="H14" s="1085">
        <f t="shared" si="0"/>
        <v>0</v>
      </c>
      <c r="I14" s="1087">
        <f t="shared" si="0"/>
        <v>0</v>
      </c>
      <c r="J14" s="1086">
        <f t="shared" si="0"/>
        <v>0</v>
      </c>
      <c r="K14" s="1086">
        <f t="shared" si="0"/>
        <v>0</v>
      </c>
      <c r="L14" s="1088">
        <f t="shared" si="0"/>
        <v>0</v>
      </c>
      <c r="M14" s="1088">
        <f t="shared" si="0"/>
        <v>0</v>
      </c>
      <c r="N14" s="1086">
        <f t="shared" si="0"/>
        <v>21</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59</v>
      </c>
      <c r="AC14" s="1086">
        <f t="shared" si="1"/>
        <v>0</v>
      </c>
      <c r="AD14" s="1086">
        <f t="shared" si="1"/>
        <v>0</v>
      </c>
      <c r="AE14" s="1086">
        <f t="shared" si="1"/>
        <v>0</v>
      </c>
      <c r="AF14" s="1086">
        <f t="shared" si="1"/>
        <v>136</v>
      </c>
      <c r="AG14" s="1086">
        <f t="shared" si="1"/>
        <v>0</v>
      </c>
      <c r="AH14" s="1086">
        <f t="shared" si="1"/>
        <v>0</v>
      </c>
      <c r="AI14" s="1086">
        <f t="shared" si="1"/>
        <v>0</v>
      </c>
      <c r="AJ14" s="1086">
        <f t="shared" si="1"/>
        <v>0</v>
      </c>
      <c r="AK14" s="1086">
        <f t="shared" si="1"/>
        <v>0</v>
      </c>
      <c r="AL14" s="1086">
        <f t="shared" si="1"/>
        <v>27</v>
      </c>
      <c r="AM14" s="1086">
        <f t="shared" si="1"/>
        <v>21</v>
      </c>
      <c r="AN14" s="1086">
        <f t="shared" si="1"/>
        <v>0</v>
      </c>
      <c r="AO14" s="1086">
        <f t="shared" si="1"/>
        <v>0</v>
      </c>
      <c r="AP14" s="1091">
        <f>IF(ISNUMBER(((Datos!L14/Datos!K14)*11)/factor_trimestre),((Datos!L14/Datos!K14)*11)/factor_trimestre," - ")</f>
        <v>7.4948559670781902</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-0.45038167938931295</v>
      </c>
      <c r="AU14" s="1086" t="str">
        <f>IF(ISNUMBER((DatosP!#REF!-DatosP!#REF!+DatosP!#REF!)/(DatosP!#REF!+DatosP!#REF!-DatosP!#REF!-DatosP!#REF!)),(DatosP!#REF!-DatosP!#REF!+DatosP!#REF!)/(DatosP!#REF!+DatosP!#REF!-DatosP!#REF!-DatosP!#REF!)," - ")</f>
        <v xml:space="preserve"> - </v>
      </c>
      <c r="AV14" s="1092">
        <f>SUBTOTAL(9,AV9:AV13)</f>
        <v>0</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5</v>
      </c>
      <c r="B16" s="647" t="s">
        <v>436</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0</v>
      </c>
      <c r="B17" s="654" t="s">
        <v>436</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436</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1</v>
      </c>
      <c r="B19" s="654" t="s">
        <v>436</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3.2258613356018717</v>
      </c>
      <c r="AQ20" s="1091">
        <f>IF(ISNUMBER(((Datos!M20/Datos!L20)*11)/factor_trimestre),((Datos!M20/Datos!L20)*11)/factor_trimestre," - ")</f>
        <v>0.52927215189873422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-3.3726812816188868E-2</v>
      </c>
      <c r="AW20" s="1093">
        <f>IF(ISNUMBER((Datos!Q20-Datos!R20)/(Datos!S20-Datos!Q20+Datos!R20)),(Datos!Q20-Datos!R20)/(Datos!S20-Datos!Q20+Datos!R20)," - ")</f>
        <v>-0.13821782178217823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10</v>
      </c>
      <c r="F21" s="1098">
        <f t="shared" si="4"/>
        <v>131</v>
      </c>
      <c r="G21" s="1098">
        <f t="shared" si="4"/>
        <v>134</v>
      </c>
      <c r="H21" s="1098">
        <f t="shared" si="4"/>
        <v>0</v>
      </c>
      <c r="I21" s="1099">
        <f t="shared" si="4"/>
        <v>0</v>
      </c>
      <c r="J21" s="1100">
        <f t="shared" si="4"/>
        <v>0</v>
      </c>
      <c r="K21" s="1100">
        <f t="shared" si="4"/>
        <v>0</v>
      </c>
      <c r="L21" s="1100">
        <f t="shared" si="4"/>
        <v>0</v>
      </c>
      <c r="M21" s="1100">
        <f t="shared" si="4"/>
        <v>0</v>
      </c>
      <c r="N21" s="1099">
        <f t="shared" si="4"/>
        <v>21</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59</v>
      </c>
      <c r="AC21" s="1104">
        <f t="shared" si="5"/>
        <v>0</v>
      </c>
      <c r="AD21" s="1104">
        <f t="shared" si="5"/>
        <v>0</v>
      </c>
      <c r="AE21" s="1104">
        <f t="shared" si="5"/>
        <v>0</v>
      </c>
      <c r="AF21" s="1105">
        <f t="shared" si="5"/>
        <v>136</v>
      </c>
      <c r="AG21" s="1105">
        <f t="shared" si="5"/>
        <v>0</v>
      </c>
      <c r="AH21" s="1105">
        <f t="shared" si="5"/>
        <v>0</v>
      </c>
      <c r="AI21" s="1105">
        <f t="shared" si="5"/>
        <v>0</v>
      </c>
      <c r="AJ21" s="1106">
        <f t="shared" si="5"/>
        <v>0</v>
      </c>
      <c r="AK21" s="1106">
        <f t="shared" si="5"/>
        <v>0</v>
      </c>
      <c r="AL21" s="1098">
        <f t="shared" si="5"/>
        <v>27</v>
      </c>
      <c r="AM21" s="1098">
        <f t="shared" si="5"/>
        <v>21</v>
      </c>
      <c r="AN21" s="1098">
        <f t="shared" si="5"/>
        <v>0</v>
      </c>
      <c r="AO21" s="1098">
        <f t="shared" si="5"/>
        <v>0</v>
      </c>
      <c r="AP21" s="1098">
        <f>IF(ISNUMBER(((Datos!L21/Datos!K21)*11)/factor_trimestre),((Datos!L21/Datos!K21)*11)/factor_trimestre," - ")</f>
        <v>5.5893297892538447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-0.45038167938931295</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-1.9232377289070993E-3</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290</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67</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291</v>
      </c>
      <c r="D23" s="868"/>
      <c r="E23" s="869">
        <f>IF(ISNUMBER(STDEV(E8:E20)),STDEV(E8:E20),"-")</f>
        <v>3.9761191895520196</v>
      </c>
      <c r="F23" s="870">
        <f>IF(ISNUMBER(STDEV(F8:F20)),STDEV(F8:F20),"-")</f>
        <v>75.632885263840976</v>
      </c>
      <c r="G23" s="871">
        <f>IF(ISNUMBER(STDEV(G8:G20)),STDEV(G8:G20),"-")</f>
        <v>77.364936071409844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34.063665882187919</v>
      </c>
      <c r="AC23" s="872">
        <f>IF(ISNUMBER(STDEV(AC8:AC20)),STDEV(AC8:AC20),"-")</f>
        <v>0</v>
      </c>
      <c r="AD23" s="875"/>
      <c r="AE23" s="875"/>
      <c r="AF23" s="875"/>
      <c r="AG23" s="875"/>
      <c r="AH23" s="875"/>
      <c r="AI23" s="875"/>
      <c r="AJ23" s="876">
        <f>IF(ISNUMBER(STDEV(AJ8:AJ20)),STDEV(AJ8:AJ20),"-")</f>
        <v>0</v>
      </c>
      <c r="AK23" s="878"/>
      <c r="AL23" s="870">
        <f>IF(ISNUMBER(STDEV(AL8:AL20)),STDEV(AL8:AL20),"-")</f>
        <v>15.588457268119896</v>
      </c>
      <c r="AM23" s="870"/>
      <c r="AN23" s="870">
        <f>IF(ISNUMBER(STDEV(AN8:AN20)),STDEV(AN8:AN20),"-")</f>
        <v>0</v>
      </c>
      <c r="AO23" s="876">
        <f>IF(ISNUMBER(STDEV(AO8:AO20)),STDEV(AO8:AO20),"-")</f>
        <v>0</v>
      </c>
      <c r="AP23" s="923">
        <f>IF(ISNUMBER(STDEV(AP8:AP20)),STDEV(AP8:AP20),"-")</f>
        <v>2.3155947152499987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465</v>
      </c>
      <c r="AU24" s="886" t="s">
        <v>465</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288</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289</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qmxw1/JO9VIzPpVZiAsYpsZGSGPAIOVgRrELKTCcJt0JijpWwftNPi68fH73LMQ9QLR5pahNQbM5FOIQTliTWQ==" saltValue="/RaJQxXgQWqXYxQ8024W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240</v>
      </c>
      <c r="B3" s="403" t="str">
        <f>Criterios!A10 &amp;"  "&amp;Criterios!B10</f>
        <v>Provincias  CADIZ</v>
      </c>
      <c r="C3" s="427"/>
      <c r="F3" s="400"/>
      <c r="G3" s="400"/>
      <c r="H3" s="400"/>
    </row>
    <row r="4" spans="1:15" ht="13.5" thickBot="1">
      <c r="A4" s="400"/>
      <c r="B4" s="403" t="str">
        <f>Criterios!A11 &amp;"  "&amp;Criterios!B11</f>
        <v>Resumenes por Partidos Judiciales  JEREZ DE LA FRONTERA</v>
      </c>
      <c r="C4" s="400"/>
      <c r="E4" s="400"/>
      <c r="F4" s="400"/>
      <c r="G4" s="400"/>
      <c r="H4" s="400"/>
    </row>
    <row r="5" spans="1:15" ht="15.75" customHeight="1">
      <c r="A5" s="1369" t="str">
        <f>"Año:  " &amp;Criterios!B5</f>
        <v>Año:  2023</v>
      </c>
      <c r="B5" s="1359" t="s">
        <v>227</v>
      </c>
      <c r="C5" s="1372"/>
      <c r="D5" s="1359" t="s">
        <v>244</v>
      </c>
      <c r="E5" s="1377"/>
      <c r="F5" s="1372"/>
      <c r="G5" s="1359" t="s">
        <v>229</v>
      </c>
      <c r="H5" s="1360"/>
      <c r="I5" s="1359" t="s">
        <v>230</v>
      </c>
      <c r="J5" s="1360"/>
      <c r="K5" s="1359" t="s">
        <v>231</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119</v>
      </c>
      <c r="C7" s="428" t="s">
        <v>228</v>
      </c>
      <c r="D7" s="428" t="s">
        <v>119</v>
      </c>
      <c r="E7" s="428" t="s">
        <v>228</v>
      </c>
      <c r="F7" s="407" t="s">
        <v>6</v>
      </c>
      <c r="G7" s="428" t="s">
        <v>119</v>
      </c>
      <c r="H7" s="428" t="s">
        <v>232</v>
      </c>
      <c r="I7" s="428" t="s">
        <v>119</v>
      </c>
      <c r="J7" s="428" t="s">
        <v>232</v>
      </c>
      <c r="K7" s="428" t="s">
        <v>119</v>
      </c>
      <c r="L7" s="429" t="s">
        <v>232</v>
      </c>
      <c r="M7" s="429" t="s">
        <v>241</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7</v>
      </c>
      <c r="D9" s="415">
        <f>Datos!BK9</f>
        <v>0</v>
      </c>
      <c r="E9" s="415">
        <f>Datos!AQ9</f>
        <v>7</v>
      </c>
      <c r="F9" s="416">
        <f>IF(ISNUMBER(E9/Datos!BH9),E9/Datos!BH9," - ")</f>
        <v>1.1666666666666667</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1</v>
      </c>
      <c r="D10" s="415">
        <f>Datos!BK10</f>
        <v>0</v>
      </c>
      <c r="E10" s="415">
        <f>Datos!AQ10</f>
        <v>1</v>
      </c>
      <c r="F10" s="416">
        <f>IF(ISNUMBER(E10/Datos!BH10),E10/Datos!BH10," - ")</f>
        <v>1</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1</v>
      </c>
      <c r="D11" s="415">
        <f>Datos!BK11</f>
        <v>0</v>
      </c>
      <c r="E11" s="415">
        <f>Datos!AQ11</f>
        <v>1</v>
      </c>
      <c r="F11" s="416">
        <f>IF(ISNUMBER(E11/Datos!BH11),E11/Datos!BH11," - ")</f>
        <v>1</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0</v>
      </c>
      <c r="D12" s="415">
        <f>Datos!BK12</f>
        <v>0</v>
      </c>
      <c r="E12" s="415">
        <f>Datos!AQ12</f>
        <v>0</v>
      </c>
      <c r="F12" s="416" t="str">
        <f>IF(ISNUMBER(E12/Datos!BH12),E12/Datos!BH12," - ")</f>
        <v xml:space="preserve"> - </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1</v>
      </c>
      <c r="D13" s="415">
        <f>Datos!BK13</f>
        <v>0</v>
      </c>
      <c r="E13" s="415">
        <f>Datos!AQ13</f>
        <v>1</v>
      </c>
      <c r="F13" s="416">
        <f>IF(ISNUMBER(E13/Datos!BH13),E13/Datos!BH13," - ")</f>
        <v>1</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5</v>
      </c>
      <c r="D16" s="415">
        <f>Datos!BK16</f>
        <v>0</v>
      </c>
      <c r="E16" s="415">
        <f>Datos!AQ16</f>
        <v>5</v>
      </c>
      <c r="F16" s="416">
        <f>IF(ISNUMBER(E16/Datos!BH16),E16/Datos!BH16," - ")</f>
        <v>1</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0</v>
      </c>
      <c r="D17" s="415">
        <f>Datos!BK17</f>
        <v>0</v>
      </c>
      <c r="E17" s="415">
        <f>Datos!AQ17</f>
        <v>0</v>
      </c>
      <c r="F17" s="416" t="str">
        <f>IF(ISNUMBER(E17/Datos!BH17),E17/Datos!BH17," - ")</f>
        <v xml:space="preserve"> - </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1</v>
      </c>
      <c r="D18" s="415">
        <f>Datos!BK18</f>
        <v>0</v>
      </c>
      <c r="E18" s="415">
        <f>Datos!AQ18</f>
        <v>1</v>
      </c>
      <c r="F18" s="416">
        <f>IF(ISNUMBER(E18/Datos!BH18),E18/Datos!BH18," - ")</f>
        <v>1</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1</v>
      </c>
      <c r="D19" s="415">
        <f>Datos!BK19</f>
        <v>0</v>
      </c>
      <c r="E19" s="415">
        <f>Datos!AQ19</f>
        <v>1</v>
      </c>
      <c r="F19" s="416">
        <f>IF(ISNUMBER(E19/Datos!BH19),E19/Datos!BH19," - ")</f>
        <v>1</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Aokri9CKKuTZyFFgyuiA2e8ktEMEdLkqToaVGEtX84RYEF5qg0NGdPUfKzL7uOiL5a9gAb/NMAwg5srG1KUc0A==" saltValue="76IKzl2w4O3lxsGwlAIil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CADIZ</v>
      </c>
      <c r="C3" s="439"/>
      <c r="D3" s="440"/>
    </row>
    <row r="4" spans="1:9" ht="13.5" thickBot="1">
      <c r="B4" s="441" t="str">
        <f>Criterios!A11 &amp;"  "&amp;Criterios!B11</f>
        <v>Resumenes por Partidos Judiciales  JEREZ DE LA FRONTERA</v>
      </c>
    </row>
    <row r="5" spans="1:9" ht="15.75" customHeight="1">
      <c r="A5" s="1369" t="str">
        <f>"Año:  " &amp;Criterios!B5 &amp; "                  Trimestre   " &amp;Criterios!D5 &amp; " al " &amp;Criterios!D6</f>
        <v>Año:  2023                  Trimestre   1 al 1</v>
      </c>
      <c r="B5" s="1381" t="s">
        <v>128</v>
      </c>
      <c r="C5" s="1383" t="s">
        <v>135</v>
      </c>
      <c r="D5" s="1359" t="s">
        <v>89</v>
      </c>
      <c r="E5" s="1360"/>
      <c r="F5" s="1359" t="s">
        <v>90</v>
      </c>
      <c r="G5" s="1364"/>
      <c r="H5" s="1359" t="s">
        <v>256</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129</v>
      </c>
      <c r="C7" s="428" t="s">
        <v>129</v>
      </c>
      <c r="D7" s="406" t="s">
        <v>96</v>
      </c>
      <c r="E7" s="407" t="s">
        <v>6</v>
      </c>
      <c r="F7" s="406" t="s">
        <v>97</v>
      </c>
      <c r="G7" s="407" t="s">
        <v>6</v>
      </c>
      <c r="H7" s="406" t="s">
        <v>257</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7</v>
      </c>
      <c r="C9" s="422">
        <f>Datos!AQ9</f>
        <v>7</v>
      </c>
      <c r="D9" s="415">
        <f>IF(ISNUMBER(Datos!M9),Datos!M9," - ")</f>
        <v>573</v>
      </c>
      <c r="E9" s="416">
        <f t="shared" ref="E9:E14" si="0">IF(ISNUMBER(D9/B9),D9/B9," - ")</f>
        <v>81.857142857142861</v>
      </c>
      <c r="F9" s="415">
        <f>IF(ISNUMBER(Datos!N9),Datos!N9," - ")</f>
        <v>935</v>
      </c>
      <c r="G9" s="416">
        <f t="shared" ref="G9:G14" si="1">IF(ISNUMBER(F9/B9),F9/B9," - ")</f>
        <v>133.57142857142858</v>
      </c>
      <c r="H9" s="415">
        <f>IF(ISNUMBER(Datos!O9),Datos!O9," - ")</f>
        <v>1269</v>
      </c>
      <c r="I9" s="416">
        <f>IF(ISNUMBER(H9/B9),H9/B9," - ")</f>
        <v>181.28571428571428</v>
      </c>
    </row>
    <row r="10" spans="1:9">
      <c r="A10" s="414" t="str">
        <f>Datos!A10</f>
        <v>Jdos. Violencia contra la mujer</v>
      </c>
      <c r="B10" s="444">
        <f>Datos!AO10</f>
        <v>1</v>
      </c>
      <c r="C10" s="422">
        <f>Datos!AQ10</f>
        <v>1</v>
      </c>
      <c r="D10" s="415">
        <f>IF(ISNUMBER(Datos!M10),Datos!M10," - ")</f>
        <v>27</v>
      </c>
      <c r="E10" s="416">
        <f>IF(ISNUMBER(D10/B10),D10/B10," - ")</f>
        <v>27</v>
      </c>
      <c r="F10" s="415">
        <f>IF(ISNUMBER(Datos!N10),Datos!N10," - ")</f>
        <v>21</v>
      </c>
      <c r="G10" s="416">
        <f>IF(ISNUMBER(F10/B10),F10/B10," - ")</f>
        <v>21</v>
      </c>
      <c r="H10" s="415">
        <f>IF(ISNUMBER(Datos!O10),Datos!O10," - ")</f>
        <v>18</v>
      </c>
      <c r="I10" s="416">
        <f t="shared" ref="I10:I13" si="2">IF(ISNUMBER(H10/B10),H10/B10," - ")</f>
        <v>18</v>
      </c>
    </row>
    <row r="11" spans="1:9">
      <c r="A11" s="414" t="str">
        <f>Datos!A11</f>
        <v xml:space="preserve">Jdos. Familia                                   </v>
      </c>
      <c r="B11" s="444">
        <f>Datos!AO11</f>
        <v>1</v>
      </c>
      <c r="C11" s="422">
        <f>Datos!AQ11</f>
        <v>1</v>
      </c>
      <c r="D11" s="415">
        <f>IF(ISNUMBER(Datos!M11),Datos!M11," - ")</f>
        <v>115</v>
      </c>
      <c r="E11" s="416">
        <f t="shared" si="0"/>
        <v>115</v>
      </c>
      <c r="F11" s="415">
        <f>IF(ISNUMBER(Datos!N11),Datos!N11," - ")</f>
        <v>305</v>
      </c>
      <c r="G11" s="416">
        <f t="shared" si="1"/>
        <v>305</v>
      </c>
      <c r="H11" s="415">
        <f>IF(ISNUMBER(Datos!O11),Datos!O11," - ")</f>
        <v>128</v>
      </c>
      <c r="I11" s="416">
        <f t="shared" si="2"/>
        <v>128</v>
      </c>
    </row>
    <row r="12" spans="1:9">
      <c r="A12" s="414" t="str">
        <f>Datos!A12</f>
        <v xml:space="preserve">Jdos. 1ª Instª. e Instr.                        </v>
      </c>
      <c r="B12" s="444">
        <f>Datos!AO12</f>
        <v>0</v>
      </c>
      <c r="C12" s="422">
        <f>Datos!AQ12</f>
        <v>0</v>
      </c>
      <c r="D12" s="415" t="str">
        <f>IF(ISNUMBER(Datos!M12),Datos!M12," - ")</f>
        <v xml:space="preserve"> - </v>
      </c>
      <c r="E12" s="416" t="str">
        <f t="shared" si="0"/>
        <v xml:space="preserve"> - </v>
      </c>
      <c r="F12" s="415" t="str">
        <f>IF(ISNUMBER(Datos!N12),Datos!N12," - ")</f>
        <v xml:space="preserve"> - </v>
      </c>
      <c r="G12" s="416" t="str">
        <f t="shared" si="1"/>
        <v xml:space="preserve"> - </v>
      </c>
      <c r="H12" s="415" t="str">
        <f>IF(ISNUMBER(Datos!O12),Datos!O12," - ")</f>
        <v xml:space="preserve"> - </v>
      </c>
      <c r="I12" s="416" t="str">
        <f t="shared" si="2"/>
        <v xml:space="preserve"> - </v>
      </c>
    </row>
    <row r="13" spans="1:9" ht="13.5" thickBot="1">
      <c r="A13" s="414" t="str">
        <f>Datos!A13</f>
        <v xml:space="preserve">Jdos. de Menores    </v>
      </c>
      <c r="B13" s="444">
        <f>Datos!AO13</f>
        <v>1</v>
      </c>
      <c r="C13" s="422">
        <f>Datos!AQ13</f>
        <v>1</v>
      </c>
      <c r="D13" s="415">
        <f>IF(ISNUMBER(Datos!M13),Datos!M13," - ")</f>
        <v>0</v>
      </c>
      <c r="E13" s="416">
        <f>IF(ISNUMBER(D13/B13),D13/B13," - ")</f>
        <v>0</v>
      </c>
      <c r="F13" s="415">
        <f>IF(ISNUMBER(Datos!N13),Datos!N13," - ")</f>
        <v>0</v>
      </c>
      <c r="G13" s="416">
        <f>IF(ISNUMBER(F13/B13),F13/B13," - ")</f>
        <v>0</v>
      </c>
      <c r="H13" s="415">
        <f>IF(ISNUMBER(Datos!O13),Datos!O13," - ")</f>
        <v>0</v>
      </c>
      <c r="I13" s="416">
        <f t="shared" si="2"/>
        <v>0</v>
      </c>
    </row>
    <row r="14" spans="1:9" ht="14.25" thickTop="1" thickBot="1">
      <c r="A14" s="995" t="str">
        <f>Datos!A14</f>
        <v>TOTAL</v>
      </c>
      <c r="B14" s="996">
        <f>Datos!AO14</f>
        <v>10</v>
      </c>
      <c r="C14" s="998">
        <f>Datos!AR14</f>
        <v>10</v>
      </c>
      <c r="D14" s="996">
        <f>SUBTOTAL(9,D9:D13)</f>
        <v>715</v>
      </c>
      <c r="E14" s="997">
        <f t="shared" si="0"/>
        <v>71.5</v>
      </c>
      <c r="F14" s="996">
        <f>SUBTOTAL(9,F9:F13)</f>
        <v>1261</v>
      </c>
      <c r="G14" s="997">
        <f t="shared" si="1"/>
        <v>126.1</v>
      </c>
      <c r="H14" s="996">
        <f>SUBTOTAL(9,H9:H13)</f>
        <v>1415</v>
      </c>
      <c r="I14" s="997">
        <f>IF(ISNUMBER(H14/B14),H14/B14," - ")</f>
        <v>141.5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5</v>
      </c>
      <c r="C16" s="445">
        <f>Datos!AQ16</f>
        <v>5</v>
      </c>
      <c r="D16" s="415">
        <f>IF(ISNUMBER(Datos!M16),Datos!M16," - ")</f>
        <v>365</v>
      </c>
      <c r="E16" s="416">
        <f t="shared" ref="E16:E20" si="3">IF(ISNUMBER(D16/B16),D16/B16," - ")</f>
        <v>73</v>
      </c>
      <c r="F16" s="415">
        <f>IF(ISNUMBER(Datos!N16),Datos!N16," - ")</f>
        <v>1000</v>
      </c>
      <c r="G16" s="416">
        <f t="shared" ref="G16:G20" si="4">IF(ISNUMBER(F16/B16),F16/B16," - ")</f>
        <v>200</v>
      </c>
      <c r="H16" s="415">
        <f>IF(ISNUMBER(Datos!O16),Datos!O16," - ")</f>
        <v>84</v>
      </c>
      <c r="I16" s="416">
        <f t="shared" ref="I16:I19" si="5">IF(ISNUMBER(H16/B16),H16/B16," - ")</f>
        <v>16.8</v>
      </c>
    </row>
    <row r="17" spans="1:9">
      <c r="A17" s="414" t="str">
        <f>Datos!A17</f>
        <v xml:space="preserve">Jdos. 1ª Instª. e Instr.                        </v>
      </c>
      <c r="B17" s="444">
        <f>Datos!AO17</f>
        <v>0</v>
      </c>
      <c r="C17" s="445">
        <f>Datos!AQ17</f>
        <v>0</v>
      </c>
      <c r="D17" s="415" t="str">
        <f>IF(ISNUMBER(Datos!M17),Datos!M17," - ")</f>
        <v xml:space="preserve"> - </v>
      </c>
      <c r="E17" s="416" t="str">
        <f t="shared" si="3"/>
        <v xml:space="preserve"> - </v>
      </c>
      <c r="F17" s="415" t="str">
        <f>IF(ISNUMBER(Datos!N17),Datos!N17," - ")</f>
        <v xml:space="preserve"> - </v>
      </c>
      <c r="G17" s="416" t="str">
        <f t="shared" si="4"/>
        <v xml:space="preserve"> - </v>
      </c>
      <c r="H17" s="415" t="str">
        <f>IF(ISNUMBER(Datos!O17),Datos!O17," - ")</f>
        <v xml:space="preserve"> - </v>
      </c>
      <c r="I17" s="416" t="str">
        <f t="shared" si="5"/>
        <v xml:space="preserve"> - </v>
      </c>
    </row>
    <row r="18" spans="1:9">
      <c r="A18" s="414" t="str">
        <f>Datos!A18</f>
        <v>Jdos. Violencia contra la mujer</v>
      </c>
      <c r="B18" s="444">
        <f>Datos!AO18</f>
        <v>1</v>
      </c>
      <c r="C18" s="445">
        <f>Datos!AQ18</f>
        <v>1</v>
      </c>
      <c r="D18" s="415">
        <f>IF(ISNUMBER(Datos!M18),Datos!M18," - ")</f>
        <v>18</v>
      </c>
      <c r="E18" s="416">
        <f>IF(ISNUMBER(D18/B18),D18/B18," - ")</f>
        <v>18</v>
      </c>
      <c r="F18" s="415">
        <f>IF(ISNUMBER(Datos!N18),Datos!N18," - ")</f>
        <v>194</v>
      </c>
      <c r="G18" s="416">
        <f>IF(ISNUMBER(F18/B18),F18/B18," - ")</f>
        <v>194</v>
      </c>
      <c r="H18" s="415">
        <f>IF(ISNUMBER(Datos!O18),Datos!O18," - ")</f>
        <v>3</v>
      </c>
      <c r="I18" s="416">
        <f t="shared" si="5"/>
        <v>3</v>
      </c>
    </row>
    <row r="19" spans="1:9" ht="13.5" thickBot="1">
      <c r="A19" s="414" t="str">
        <f>Datos!A19</f>
        <v xml:space="preserve">Jdos. de Menores                                </v>
      </c>
      <c r="B19" s="444">
        <f>Datos!AO19</f>
        <v>1</v>
      </c>
      <c r="C19" s="445">
        <f>Datos!AQ19</f>
        <v>1</v>
      </c>
      <c r="D19" s="415">
        <f>IF(ISNUMBER(Datos!M19),Datos!M19," - ")</f>
        <v>63</v>
      </c>
      <c r="E19" s="416">
        <f t="shared" si="3"/>
        <v>63</v>
      </c>
      <c r="F19" s="415">
        <f>IF(ISNUMBER(Datos!N19),Datos!N19," - ")</f>
        <v>19</v>
      </c>
      <c r="G19" s="416">
        <f t="shared" si="4"/>
        <v>19</v>
      </c>
      <c r="H19" s="415">
        <f>IF(ISNUMBER(Datos!O19),Datos!O19," - ")</f>
        <v>9</v>
      </c>
      <c r="I19" s="416">
        <f t="shared" si="5"/>
        <v>9</v>
      </c>
    </row>
    <row r="20" spans="1:9" ht="14.25" thickTop="1" thickBot="1">
      <c r="A20" s="995" t="str">
        <f>Datos!A20</f>
        <v>TOTAL</v>
      </c>
      <c r="B20" s="996">
        <f>Datos!AO20</f>
        <v>7</v>
      </c>
      <c r="C20" s="998">
        <f>Datos!AR20</f>
        <v>7</v>
      </c>
      <c r="D20" s="996">
        <f>SUBTOTAL(9,D16:D19)</f>
        <v>446</v>
      </c>
      <c r="E20" s="997">
        <f t="shared" si="3"/>
        <v>63.714285714285715</v>
      </c>
      <c r="F20" s="996">
        <f>SUBTOTAL(9,F16:F19)</f>
        <v>1213</v>
      </c>
      <c r="G20" s="997">
        <f t="shared" si="4"/>
        <v>173.28571428571428</v>
      </c>
      <c r="H20" s="996">
        <f>SUBTOTAL(9,H16:H19)</f>
        <v>96</v>
      </c>
      <c r="I20" s="997">
        <f>IF(ISNUMBER(H20/B20),H20/B20," - ")</f>
        <v>13.714285714285714</v>
      </c>
    </row>
    <row r="21" spans="1:9" ht="14.25" thickTop="1" thickBot="1">
      <c r="A21" s="940" t="str">
        <f>Datos!A21</f>
        <v>TOTAL JURISDICCIONES</v>
      </c>
      <c r="B21" s="941">
        <f>Datos!AP21</f>
        <v>15</v>
      </c>
      <c r="C21" s="941">
        <f>Datos!AR21</f>
        <v>15</v>
      </c>
      <c r="D21" s="941">
        <f>SUBTOTAL(9,D8:D20)</f>
        <v>1161</v>
      </c>
      <c r="E21" s="942">
        <f>IF(ISNUMBER(D21/B21),D21/B21," - ")</f>
        <v>77.400000000000006</v>
      </c>
      <c r="F21" s="941">
        <f>SUBTOTAL(9,F8:F20)</f>
        <v>2474</v>
      </c>
      <c r="G21" s="942">
        <f>IF(ISNUMBER(F21/B21),F21/B21," - ")</f>
        <v>164.93333333333334</v>
      </c>
      <c r="H21" s="941">
        <f>SUBTOTAL(9,H8:H20)</f>
        <v>1511</v>
      </c>
      <c r="I21" s="942">
        <f>IF(ISNUMBER(H21/B21),H21/B21," - ")</f>
        <v>100.73333333333333</v>
      </c>
    </row>
    <row r="24" spans="1:9">
      <c r="A24" s="403" t="str">
        <f>Criterios!A4</f>
        <v>Fecha Informe: 06 jun. 2023</v>
      </c>
    </row>
    <row r="29" spans="1:9">
      <c r="A29" s="426"/>
    </row>
  </sheetData>
  <sheetProtection algorithmName="SHA-512" hashValue="Rr5o83gq2gNn0LW7PFwTDs2DrrD1ISzlmSe3DoPLsaZPfHOVdbWrNjaAEyB1XWIdQ1wCjRFuY1OsAOv+nus+KA==" saltValue="OASVcPL1lt3TjCyhNd7I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CADIZ</v>
      </c>
    </row>
    <row r="4" spans="1:4" ht="13.5" thickBot="1">
      <c r="B4" s="403" t="str">
        <f>Criterios!A11 &amp;"  "&amp;Criterios!B11</f>
        <v>Resumenes por Partidos Judiciales  JEREZ DE LA FRONTERA</v>
      </c>
    </row>
    <row r="5" spans="1:4" ht="12.75" customHeight="1">
      <c r="A5" s="1369" t="str">
        <f>"Año:  " &amp;Criterios!B5 &amp; "                  Trimestre   " &amp;Criterios!D5 &amp; " al " &amp;Criterios!D6</f>
        <v>Año:  2023                  Trimestre   1 al 1</v>
      </c>
      <c r="B5" s="1385" t="s">
        <v>10</v>
      </c>
      <c r="C5" s="1385" t="s">
        <v>14</v>
      </c>
      <c r="D5" s="1385" t="s">
        <v>141</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f>IF(ISNUMBER(Datos!P9),Datos!P9," - ")</f>
        <v>1095</v>
      </c>
      <c r="C9" s="451">
        <f>IF(ISNUMBER(Datos!Q9),Datos!Q9," - ")</f>
        <v>1065</v>
      </c>
      <c r="D9" s="420">
        <f>IF(ISNUMBER(Datos!R9),Datos!R9," - ")</f>
        <v>10516</v>
      </c>
    </row>
    <row r="10" spans="1:4">
      <c r="A10" s="414" t="str">
        <f>Datos!A10</f>
        <v>Jdos. Violencia contra la mujer</v>
      </c>
      <c r="B10" s="450">
        <f>IF(ISNUMBER(Datos!P10),Datos!P10," - ")</f>
        <v>21</v>
      </c>
      <c r="C10" s="451">
        <f>IF(ISNUMBER(Datos!Q10),Datos!Q10," - ")</f>
        <v>30</v>
      </c>
      <c r="D10" s="420">
        <f>IF(ISNUMBER(Datos!R10),Datos!R10," - ")</f>
        <v>146</v>
      </c>
    </row>
    <row r="11" spans="1:4">
      <c r="A11" s="414" t="str">
        <f>Datos!A11</f>
        <v xml:space="preserve">Jdos. Familia                                   </v>
      </c>
      <c r="B11" s="450">
        <f>IF(ISNUMBER(Datos!P11),Datos!P11," - ")</f>
        <v>34</v>
      </c>
      <c r="C11" s="451">
        <f>IF(ISNUMBER(Datos!Q11),Datos!Q11," - ")</f>
        <v>58</v>
      </c>
      <c r="D11" s="420">
        <f>IF(ISNUMBER(Datos!R11),Datos!R11," - ")</f>
        <v>701</v>
      </c>
    </row>
    <row r="12" spans="1:4">
      <c r="A12" s="414" t="str">
        <f>Datos!A12</f>
        <v xml:space="preserve">Jdos. 1ª Instª. e Instr.                        </v>
      </c>
      <c r="B12" s="450" t="str">
        <f>IF(ISNUMBER(Datos!P12),Datos!P12," - ")</f>
        <v xml:space="preserve"> - </v>
      </c>
      <c r="C12" s="451" t="str">
        <f>IF(ISNUMBER(Datos!Q12),Datos!Q12," - ")</f>
        <v xml:space="preserve"> - </v>
      </c>
      <c r="D12" s="420" t="str">
        <f>IF(ISNUMBER(Datos!R12),Datos!R12," - ")</f>
        <v xml:space="preserve"> - </v>
      </c>
    </row>
    <row r="13" spans="1:4" ht="13.5" thickBot="1">
      <c r="A13" s="414" t="str">
        <f>Datos!A13</f>
        <v xml:space="preserve">Jdos. de Menores    </v>
      </c>
      <c r="B13" s="450">
        <f>IF(ISNUMBER(Datos!P13),Datos!P13," - ")</f>
        <v>0</v>
      </c>
      <c r="C13" s="451">
        <f>IF(ISNUMBER(Datos!Q13),Datos!Q13," - ")</f>
        <v>0</v>
      </c>
      <c r="D13" s="420">
        <f>IF(ISNUMBER(Datos!R13),Datos!R13," - ")</f>
        <v>0</v>
      </c>
    </row>
    <row r="14" spans="1:4" ht="14.25" thickTop="1" thickBot="1">
      <c r="A14" s="995" t="str">
        <f>Datos!A14</f>
        <v>TOTAL</v>
      </c>
      <c r="B14" s="996">
        <f>SUBTOTAL(9,B9:B13)</f>
        <v>1150</v>
      </c>
      <c r="C14" s="1000">
        <f>SUBTOTAL(9,C9:C13)</f>
        <v>1153</v>
      </c>
      <c r="D14" s="998">
        <f>SUBTOTAL(9,D9:D13)</f>
        <v>11363</v>
      </c>
    </row>
    <row r="15" spans="1:4" ht="13.5" thickTop="1">
      <c r="A15" s="408" t="str">
        <f>Datos!A15</f>
        <v xml:space="preserve">Jurisdicción Penal ( 2 ):                      </v>
      </c>
      <c r="B15" s="418"/>
      <c r="C15" s="452"/>
      <c r="D15" s="420"/>
    </row>
    <row r="16" spans="1:4">
      <c r="A16" s="414" t="str">
        <f>Datos!A16</f>
        <v xml:space="preserve">Jdos. Instrucción                               </v>
      </c>
      <c r="B16" s="450">
        <f>IF(ISNUMBER(Datos!P16),Datos!P16," - ")</f>
        <v>140</v>
      </c>
      <c r="C16" s="451">
        <f>IF(ISNUMBER(Datos!Q16),Datos!Q16," - ")</f>
        <v>154</v>
      </c>
      <c r="D16" s="420">
        <f>IF(ISNUMBER(Datos!R16),Datos!R16," - ")</f>
        <v>417</v>
      </c>
    </row>
    <row r="17" spans="1:4">
      <c r="A17" s="414" t="str">
        <f>Datos!A17</f>
        <v xml:space="preserve">Jdos. 1ª Instª. e Instr.                        </v>
      </c>
      <c r="B17" s="450" t="str">
        <f>IF(ISNUMBER(Datos!P17),Datos!P17," - ")</f>
        <v xml:space="preserve"> - </v>
      </c>
      <c r="C17" s="451" t="str">
        <f>IF(ISNUMBER(Datos!Q17),Datos!Q17," - ")</f>
        <v xml:space="preserve"> - </v>
      </c>
      <c r="D17" s="420" t="str">
        <f>IF(ISNUMBER(Datos!R17),Datos!R17," - ")</f>
        <v xml:space="preserve"> - </v>
      </c>
    </row>
    <row r="18" spans="1:4">
      <c r="A18" s="414" t="str">
        <f>Datos!A18</f>
        <v>Jdos. Violencia contra la mujer</v>
      </c>
      <c r="B18" s="450">
        <f>IF(ISNUMBER(Datos!P18),Datos!P18," - ")</f>
        <v>1</v>
      </c>
      <c r="C18" s="451">
        <f>IF(ISNUMBER(Datos!Q18),Datos!Q18," - ")</f>
        <v>3</v>
      </c>
      <c r="D18" s="420">
        <f>IF(ISNUMBER(Datos!R18),Datos!R18," - ")</f>
        <v>8</v>
      </c>
    </row>
    <row r="19" spans="1:4" ht="13.5" thickBot="1">
      <c r="A19" s="414" t="str">
        <f>Datos!A19</f>
        <v xml:space="preserve">Jdos. de Menores                                </v>
      </c>
      <c r="B19" s="450">
        <f>IF(ISNUMBER(Datos!P19),Datos!P19," - ")</f>
        <v>63</v>
      </c>
      <c r="C19" s="451">
        <f>IF(ISNUMBER(Datos!Q19),Datos!Q19," - ")</f>
        <v>67</v>
      </c>
      <c r="D19" s="420">
        <f>IF(ISNUMBER(Datos!R19),Datos!R19," - ")</f>
        <v>148</v>
      </c>
    </row>
    <row r="20" spans="1:4" ht="14.25" thickTop="1" thickBot="1">
      <c r="A20" s="995" t="str">
        <f>Datos!A20</f>
        <v>TOTAL</v>
      </c>
      <c r="B20" s="996">
        <f>SUBTOTAL(9,B16:B19)</f>
        <v>204</v>
      </c>
      <c r="C20" s="1000">
        <f>SUBTOTAL(9,C16:C19)</f>
        <v>224</v>
      </c>
      <c r="D20" s="998">
        <f>SUBTOTAL(9,D16:D19)</f>
        <v>573</v>
      </c>
    </row>
    <row r="21" spans="1:4" ht="16.5" customHeight="1" thickTop="1" thickBot="1">
      <c r="A21" s="940" t="str">
        <f>Datos!A21</f>
        <v>TOTAL JURISDICCIONES</v>
      </c>
      <c r="B21" s="945">
        <f>SUBTOTAL(9,B8:B20)</f>
        <v>1354</v>
      </c>
      <c r="C21" s="946">
        <f>SUBTOTAL(9,C8:C20)</f>
        <v>1377</v>
      </c>
      <c r="D21" s="947">
        <f>SUBTOTAL(9,D8:D20)</f>
        <v>11936</v>
      </c>
    </row>
    <row r="22" spans="1:4" ht="7.5" customHeight="1"/>
    <row r="23" spans="1:4" ht="6" customHeight="1"/>
    <row r="24" spans="1:4">
      <c r="A24" s="403" t="str">
        <f>Criterios!A4</f>
        <v>Fecha Informe: 06 jun. 2023</v>
      </c>
    </row>
    <row r="29" spans="1:4">
      <c r="A29" s="426"/>
    </row>
  </sheetData>
  <sheetProtection algorithmName="SHA-512" hashValue="DDwAa3ph7qqGs0qo3cD7pKaNsniGXeG118uUvC0b6VG3sYlkuOqDthTJUuLtq/wI4szdYR0+QjVkwuIOzbDCBQ==" saltValue="opUUS2EsC7ps0K/7XA/ST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130</v>
      </c>
      <c r="B3" s="403" t="str">
        <f>Criterios!A10 &amp;"  "&amp;Criterios!B10</f>
        <v>Provincias  CADIZ</v>
      </c>
    </row>
    <row r="4" spans="1:11" ht="10.5" customHeight="1" thickBot="1">
      <c r="B4" s="403" t="str">
        <f>Criterios!A11 &amp;"  "&amp;Criterios!B11</f>
        <v>Resumenes por Partidos Judiciales  JEREZ DE LA FRONTERA</v>
      </c>
    </row>
    <row r="5" spans="1:11" ht="12.75" customHeight="1">
      <c r="A5" s="1369" t="str">
        <f>"Año:  " &amp;Criterios!B5 &amp; "    Trimestre   " &amp;Criterios!D5 &amp; " al " &amp;Criterios!D6</f>
        <v>Año:  2023    Trimestre   1 al 1</v>
      </c>
      <c r="B5" s="1403" t="s">
        <v>140</v>
      </c>
      <c r="C5" s="1366" t="s">
        <v>13</v>
      </c>
      <c r="D5" s="1350" t="s">
        <v>9</v>
      </c>
      <c r="E5" s="1350" t="s">
        <v>141</v>
      </c>
      <c r="F5" s="1366" t="s">
        <v>7</v>
      </c>
      <c r="G5" s="1390" t="s">
        <v>8</v>
      </c>
      <c r="H5" s="1383" t="s">
        <v>131</v>
      </c>
      <c r="I5" s="1395" t="s">
        <v>132</v>
      </c>
      <c r="J5" s="1398" t="s">
        <v>133</v>
      </c>
      <c r="K5" s="1363" t="s">
        <v>134</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f>IF(ISNUMBER(
   IF(J_V="SI",(Datos!I9-Datos!S9)/Datos!S9,(Datos!I9+Datos!Y9-(Datos!S9+Datos!AG9))/(Datos!S9+Datos!AG9))
     ),IF(J_V="SI",(Datos!I9-Datos!S9)/Datos!S9,(Datos!I9+Datos!Y9-(Datos!S9+Datos!AG9))/(Datos!S9+Datos!AG9))," - ")</f>
        <v>0.41805225653206651</v>
      </c>
      <c r="C9" s="473">
        <f>IF(ISNUMBER(
   IF(J_V="SI",(Datos!J9-Datos!T9)/Datos!T9,(Datos!J9+Datos!Z9-(Datos!T9+Datos!AH9))/(Datos!T9+Datos!AH9))
     ),IF(J_V="SI",(Datos!J9-Datos!T9)/Datos!T9,(Datos!J9+Datos!Z9-(Datos!T9+Datos!AH9))/(Datos!T9+Datos!AH9))," - ")</f>
        <v>0.36029097133076593</v>
      </c>
      <c r="D9" s="473">
        <f>IF(ISNUMBER(
   IF(J_V="SI",(Datos!K9-Datos!U9)/Datos!U9,(Datos!K9+Datos!AA9-(Datos!U9+Datos!AI9))/(Datos!U9+Datos!AI9))
     ),IF(J_V="SI",(Datos!K9-Datos!U9)/Datos!U9,(Datos!K9+Datos!AA9-(Datos!U9+Datos!AI9))/(Datos!U9+Datos!AI9))," - ")</f>
        <v>0.33697270471464019</v>
      </c>
      <c r="E9" s="473">
        <f>IF(ISNUMBER(
   IF(J_V="SI",(Datos!L9-Datos!V9)/Datos!V9,(Datos!L9+Datos!AB9-(Datos!V9+Datos!AJ9))/(Datos!V9+Datos!AJ9))
     ),IF(J_V="SI",(Datos!L9-Datos!V9)/Datos!V9,(Datos!L9+Datos!AB9-(Datos!V9+Datos!AJ9))/(Datos!V9+Datos!AJ9))," - ")</f>
        <v>0.42431597528684906</v>
      </c>
      <c r="F9" s="473">
        <f>IF(ISNUMBER((Datos!M9-Datos!W9)/Datos!W9),(Datos!M9-Datos!W9)/Datos!W9," - ")</f>
        <v>0.20378151260504201</v>
      </c>
      <c r="G9" s="474">
        <f>IF(ISNUMBER((Datos!N9-Datos!X9)/Datos!X9),(Datos!N9-Datos!X9)/Datos!X9," - ")</f>
        <v>0.38518518518518519</v>
      </c>
      <c r="H9" s="472">
        <f>IF(ISNUMBER(((NºAsuntos!G9/NºAsuntos!E9)-Datos!BD9)/Datos!BD9),((NºAsuntos!G9/NºAsuntos!E9)-Datos!BD9)/Datos!BD9," - ")</f>
        <v>-1.714211672912426E-2</v>
      </c>
      <c r="I9" s="473">
        <f>IF(ISNUMBER(((NºAsuntos!I9/NºAsuntos!G9)-Datos!BE9)/Datos!BE9),((NºAsuntos!I9/NºAsuntos!G9)-Datos!BE9)/Datos!BE9," - ")</f>
        <v>6.5329135190423507E-2</v>
      </c>
      <c r="J9" s="478">
        <f>IF(ISNUMBER((('Resol  Asuntos'!D9/NºAsuntos!G9)-Datos!BF9)/Datos!BF9),(('Resol  Asuntos'!D9/NºAsuntos!G9)-Datos!BF9)/Datos!BF9," - ")</f>
        <v>-0.36506640270560092</v>
      </c>
      <c r="K9" s="479">
        <f>IF(ISNUMBER((((NºAsuntos!C9+NºAsuntos!E9)/NºAsuntos!G9)-Datos!BG9)/Datos!BG9),(((NºAsuntos!C9+NºAsuntos!E9)/NºAsuntos!G9)-Datos!BG9)/Datos!BG9," - ")</f>
        <v>4.5222489794256811E-2</v>
      </c>
    </row>
    <row r="10" spans="1:11">
      <c r="A10" s="414" t="str">
        <f>Datos!A10</f>
        <v>Jdos. Violencia contra la mujer</v>
      </c>
      <c r="B10" s="472">
        <f>IF(ISNUMBER((Datos!I10-Datos!S10)/Datos!S10),(Datos!I10-Datos!S10)/Datos!S10," - ")</f>
        <v>-7.586206896551724E-2</v>
      </c>
      <c r="C10" s="473">
        <f>IF(ISNUMBER((Datos!J10-Datos!T10)/Datos!T10),(Datos!J10-Datos!T10)/Datos!T10," - ")</f>
        <v>-4.4776119402985072E-2</v>
      </c>
      <c r="D10" s="473">
        <f>IF(ISNUMBER((Datos!K10-Datos!U10)/Datos!U10),(Datos!K10-Datos!U10)/Datos!U10," - ")</f>
        <v>-0.28048780487804881</v>
      </c>
      <c r="E10" s="473">
        <f>IF(ISNUMBER((Datos!L10-Datos!V10)/Datos!V10),(Datos!L10-Datos!V10)/Datos!V10," - ")</f>
        <v>3.8167938931297711E-2</v>
      </c>
      <c r="F10" s="473">
        <f>IF(ISNUMBER((Datos!M10-Datos!W10)/Datos!W10),(Datos!M10-Datos!W10)/Datos!W10," - ")</f>
        <v>-0.1</v>
      </c>
      <c r="G10" s="474">
        <f>IF(ISNUMBER((Datos!N10-Datos!X10)/Datos!X10),(Datos!N10-Datos!X10)/Datos!X10," - ")</f>
        <v>-0.34375</v>
      </c>
      <c r="H10" s="472">
        <f>IF(ISNUMBER(((NºAsuntos!G10/NºAsuntos!E10)-Datos!BD10)/Datos!BD10),((NºAsuntos!G10/NºAsuntos!E10)-Datos!BD10)/Datos!BD10," - ")</f>
        <v>-0.24676067073170729</v>
      </c>
      <c r="I10" s="473">
        <f>IF(ISNUMBER(((NºAsuntos!I10/NºAsuntos!G10)-Datos!BE10)/Datos!BE10),((NºAsuntos!I10/NºAsuntos!G10)-Datos!BE10)/Datos!BE10," - ")</f>
        <v>0.4428774744468883</v>
      </c>
      <c r="J10" s="478">
        <f>IF(ISNUMBER((('Resol  Asuntos'!D10/NºAsuntos!G10)-Datos!BF10)/Datos!BF10),(('Resol  Asuntos'!D10/NºAsuntos!G10)-Datos!BF10)/Datos!BF10," - ")</f>
        <v>0.25084745762711869</v>
      </c>
      <c r="K10" s="479">
        <f>IF(ISNUMBER((((NºAsuntos!C10+NºAsuntos!E10)/NºAsuntos!G10)-Datos!BG10)/Datos!BG10),(((NºAsuntos!C10+NºAsuntos!E10)/NºAsuntos!G10)-Datos!BG10)/Datos!BG10," - ")</f>
        <v>0.29804924848097214</v>
      </c>
    </row>
    <row r="11" spans="1:11">
      <c r="A11" s="414" t="str">
        <f>Datos!A11</f>
        <v xml:space="preserve">Jdos. Familia                                   </v>
      </c>
      <c r="B11" s="472">
        <f>IF(ISNUMBER(
   IF(J_V="SI",(Datos!I11-Datos!S11)/Datos!S11,(Datos!I11+Datos!Y11-(Datos!S11+Datos!AG11))/(Datos!S11+Datos!AG11))
     ),IF(J_V="SI",(Datos!I11-Datos!S11)/Datos!S11,(Datos!I11+Datos!Y11-(Datos!S11+Datos!AG11))/(Datos!S11+Datos!AG11))," - ")</f>
        <v>-0.31234413965087282</v>
      </c>
      <c r="C11" s="473">
        <f>IF(ISNUMBER(
   IF(J_V="SI",(Datos!J11-Datos!T11)/Datos!T11,(Datos!J11+Datos!Z11-(Datos!T11+Datos!AH11))/(Datos!T11+Datos!AH11))
     ),IF(J_V="SI",(Datos!J11-Datos!T11)/Datos!T11,(Datos!J11+Datos!Z11-(Datos!T11+Datos!AH11))/(Datos!T11+Datos!AH11))," - ")</f>
        <v>-0.48945783132530118</v>
      </c>
      <c r="D11" s="473">
        <f>IF(ISNUMBER(
   IF(J_V="SI",(Datos!K11-Datos!U11)/Datos!U11,(Datos!K11+Datos!AA11-(Datos!U11+Datos!AI11))/(Datos!U11+Datos!AI11))
     ),IF(J_V="SI",(Datos!K11-Datos!U11)/Datos!U11,(Datos!K11+Datos!AA11-(Datos!U11+Datos!AI11))/(Datos!U11+Datos!AI11))," - ")</f>
        <v>-0.4244031830238727</v>
      </c>
      <c r="E11" s="473">
        <f>IF(ISNUMBER(
   IF(J_V="SI",(Datos!L11-Datos!V11)/Datos!V11,(Datos!L11+Datos!AB11-(Datos!V11+Datos!AJ11))/(Datos!V11+Datos!AJ11))
     ),IF(J_V="SI",(Datos!L11-Datos!V11)/Datos!V11,(Datos!L11+Datos!AB11-(Datos!V11+Datos!AJ11))/(Datos!V11+Datos!AJ11))," - ")</f>
        <v>-0.3342140026420079</v>
      </c>
      <c r="F11" s="473">
        <f>IF(ISNUMBER((Datos!M11-Datos!W11)/Datos!W11),(Datos!M11-Datos!W11)/Datos!W11," - ")</f>
        <v>-0.42211055276381909</v>
      </c>
      <c r="G11" s="474">
        <f>IF(ISNUMBER((Datos!N11-Datos!X11)/Datos!X11),(Datos!N11-Datos!X11)/Datos!X11," - ")</f>
        <v>0.1867704280155642</v>
      </c>
      <c r="H11" s="472">
        <f>IF(ISNUMBER(((NºAsuntos!G11/NºAsuntos!E11)-Datos!BD11)/Datos!BD11),((NºAsuntos!G11/NºAsuntos!E11)-Datos!BD11)/Datos!BD11," - ")</f>
        <v>0.12742267395914039</v>
      </c>
      <c r="I11" s="473">
        <f>IF(ISNUMBER(((NºAsuntos!I11/NºAsuntos!G11)-Datos!BE11)/Datos!BE11),((NºAsuntos!I11/NºAsuntos!G11)-Datos!BE11)/Datos!BE11," - ")</f>
        <v>0.15668811522563605</v>
      </c>
      <c r="J11" s="478">
        <f>IF(ISNUMBER((('Resol  Asuntos'!D11/NºAsuntos!G11)-Datos!BF11)/Datos!BF11),(('Resol  Asuntos'!D11/NºAsuntos!G11)-Datos!BF11)/Datos!BF11," - ")</f>
        <v>-0.2225967831591027</v>
      </c>
      <c r="K11" s="479">
        <f>IF(ISNUMBER((((NºAsuntos!C11+NºAsuntos!E11)/NºAsuntos!G11)-Datos!BG11)/Datos!BG11),(((NºAsuntos!C11+NºAsuntos!E11)/NºAsuntos!G11)-Datos!BG11)/Datos!BG11," - ")</f>
        <v>0.10459691642487345</v>
      </c>
    </row>
    <row r="12" spans="1:11">
      <c r="A12" s="414" t="str">
        <f>Datos!A12</f>
        <v xml:space="preserve">Jdos. 1ª Instª. e Instr.                        </v>
      </c>
      <c r="B12" s="472" t="str">
        <f>IF(ISNUMBER(
   IF(J_V="SI",(Datos!I12-Datos!S12)/Datos!S12,(Datos!I12+Datos!Y12-(Datos!S12+Datos!AG12))/(Datos!S12+Datos!AG12))
     ),IF(J_V="SI",(Datos!I12-Datos!S12)/Datos!S12,(Datos!I12+Datos!Y12-(Datos!S12+Datos!AG12))/(Datos!S12+Datos!AG12))," - ")</f>
        <v xml:space="preserve"> - </v>
      </c>
      <c r="C12" s="473" t="str">
        <f>IF(ISNUMBER(
   IF(J_V="SI",(Datos!J12-Datos!T12)/Datos!T12,(Datos!J12+Datos!Z12-(Datos!T12+Datos!AH12))/(Datos!T12+Datos!AH12))
     ),IF(J_V="SI",(Datos!J12-Datos!T12)/Datos!T12,(Datos!J12+Datos!Z12-(Datos!T12+Datos!AH12))/(Datos!T12+Datos!AH12))," - ")</f>
        <v xml:space="preserve"> - </v>
      </c>
      <c r="D12" s="473" t="str">
        <f>IF(ISNUMBER(
   IF(J_V="SI",(Datos!K12-Datos!U12)/Datos!U12,(Datos!K12+Datos!AA12-(Datos!U12+Datos!AI12))/(Datos!U12+Datos!AI12))
     ),IF(J_V="SI",(Datos!K12-Datos!U12)/Datos!U12,(Datos!K12+Datos!AA12-(Datos!U12+Datos!AI12))/(Datos!U12+Datos!AI12))," - ")</f>
        <v xml:space="preserve"> - </v>
      </c>
      <c r="E12" s="473" t="str">
        <f>IF(ISNUMBER(
   IF(J_V="SI",(Datos!L12-Datos!V12)/Datos!V12,(Datos!L12+Datos!AB12-(Datos!V12+Datos!AJ12))/(Datos!V12+Datos!AJ12))
     ),IF(J_V="SI",(Datos!L12-Datos!V12)/Datos!V12,(Datos!L12+Datos!AB12-(Datos!V12+Datos!AJ12))/(Datos!V12+Datos!AJ12))," - ")</f>
        <v xml:space="preserve"> - </v>
      </c>
      <c r="F12" s="473" t="str">
        <f>IF(ISNUMBER((Datos!M12-Datos!W12)/Datos!W12),(Datos!M12-Datos!W12)/Datos!W12," - ")</f>
        <v xml:space="preserve"> - </v>
      </c>
      <c r="G12" s="474" t="str">
        <f>IF(ISNUMBER((Datos!N12-Datos!X12)/Datos!X12),(Datos!N12-Datos!X12)/Datos!X12," - ")</f>
        <v xml:space="preserve"> - </v>
      </c>
      <c r="H12" s="472" t="str">
        <f>IF(ISNUMBER(((NºAsuntos!G12/NºAsuntos!E12)-Datos!BD12)/Datos!BD12),((NºAsuntos!G12/NºAsuntos!E12)-Datos!BD12)/Datos!BD12," - ")</f>
        <v xml:space="preserve"> - </v>
      </c>
      <c r="I12" s="473" t="str">
        <f>IF(ISNUMBER(((NºAsuntos!I12/NºAsuntos!G12)-Datos!BE12)/Datos!BE12),((NºAsuntos!I12/NºAsuntos!G12)-Datos!BE12)/Datos!BE12," - ")</f>
        <v xml:space="preserve"> - </v>
      </c>
      <c r="J12" s="478" t="str">
        <f>IF(ISNUMBER((('Resol  Asuntos'!D12/NºAsuntos!G12)-Datos!BF12)/Datos!BF12),(('Resol  Asuntos'!D12/NºAsuntos!G12)-Datos!BF12)/Datos!BF12," - ")</f>
        <v xml:space="preserve"> - </v>
      </c>
      <c r="K12" s="479" t="str">
        <f>IF(ISNUMBER((((NºAsuntos!C12+NºAsuntos!E12)/NºAsuntos!G12)-Datos!BG12)/Datos!BG12),(((NºAsuntos!C12+NºAsuntos!E12)/NºAsuntos!G12)-Datos!BG12)/Datos!BG12," - ")</f>
        <v xml:space="preserve"> - </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0.20943111260278571</v>
      </c>
      <c r="C14" s="1002">
        <f>IF(ISNUMBER(
   IF(J_V="SI",(Datos!J14-Datos!T14)/Datos!T14,(Datos!J14+Datos!Z14-(Datos!T14+Datos!AH14))/(Datos!T14+Datos!AH14))
     ),IF(J_V="SI",(Datos!J14-Datos!T14)/Datos!T14,(Datos!J14+Datos!Z14-(Datos!T14+Datos!AH14))/(Datos!T14+Datos!AH14))," - ")</f>
        <v>0.16753585397653195</v>
      </c>
      <c r="D14" s="1002">
        <f>IF(ISNUMBER(
   IF(J_V="SI",(Datos!K14-Datos!U14)/Datos!U14,(Datos!K14+Datos!AA14-(Datos!U14+Datos!AI14))/(Datos!U14+Datos!AI14))
     ),IF(J_V="SI",(Datos!K14-Datos!U14)/Datos!U14,(Datos!K14+Datos!AA14-(Datos!U14+Datos!AI14))/(Datos!U14+Datos!AI14))," - ")</f>
        <v>0.11785338477727113</v>
      </c>
      <c r="E14" s="1002">
        <f>IF(ISNUMBER(
   IF(J_V="SI",(Datos!L14-Datos!V14)/Datos!V14,(Datos!L14+Datos!AB14-(Datos!V14+Datos!AJ14))/(Datos!V14+Datos!AJ14))
     ),IF(J_V="SI",(Datos!L14-Datos!V14)/Datos!V14,(Datos!L14+Datos!AB14-(Datos!V14+Datos!AJ14))/(Datos!V14+Datos!AJ14))," - ")</f>
        <v>0.23020883924235067</v>
      </c>
      <c r="F14" s="1003">
        <f>IF(ISNUMBER((Datos!M14-Datos!W14)/Datos!W14),(Datos!M14-Datos!W14)/Datos!W14," - ")</f>
        <v>1.4184397163120567E-2</v>
      </c>
      <c r="G14" s="1004">
        <f>IF(ISNUMBER((Datos!N14-Datos!X14)/Datos!X14),(Datos!N14-Datos!X14)/Datos!X14," - ")</f>
        <v>0.30809128630705396</v>
      </c>
      <c r="H14" s="1004">
        <f>IF(ISNUMBER(((NºAsuntos!G14/NºAsuntos!E14)-Datos!BD14)/Datos!BD14),((NºAsuntos!G14/NºAsuntos!E14)-Datos!BD14)/Datos!BD14," - ")</f>
        <v>-4.2553270659780137E-2</v>
      </c>
      <c r="I14" s="1004">
        <f>IF(ISNUMBER(((NºAsuntos!I14/NºAsuntos!G14)-Datos!BE14)/Datos!BE14),((NºAsuntos!I14/NºAsuntos!G14)-Datos!BE14)/Datos!BE14," - ")</f>
        <v>0.10051000962658986</v>
      </c>
      <c r="J14" s="1004">
        <f>IF(ISNUMBER((('Resol  Asuntos'!D14/NºAsuntos!G14)-Datos!BF14)/Datos!BF14),(('Resol  Asuntos'!D14/NºAsuntos!G14)-Datos!BF14)/Datos!BF14," - ")</f>
        <v>-0.33511563022074475</v>
      </c>
      <c r="K14" s="1004">
        <f>IF(ISNUMBER((((NºAsuntos!C14+NºAsuntos!E14)/NºAsuntos!G14)-Datos!BG14)/Datos!BG14),(((NºAsuntos!C14+NºAsuntos!E14)/NºAsuntos!G14)-Datos!BG14)/Datos!BG14," - ")</f>
        <v>6.9185116268528732E-2</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f>IF(ISNUMBER(
   IF(D_I="SI",(Datos!I16-Datos!S16)/Datos!S16,(Datos!I16+Datos!AC16-(Datos!S16+Datos!AK16))/(Datos!S16+Datos!AK16))
     ),IF(D_I="SI",(Datos!I16-Datos!S16)/Datos!S16,(Datos!I16+Datos!AC16-(Datos!S16+Datos!AK16))/(Datos!S16+Datos!AK16))," - ")</f>
        <v>4.209328782707622E-2</v>
      </c>
      <c r="C16" s="473">
        <f>IF(ISNUMBER(
   IF(D_I="SI",(Datos!J16-Datos!T16)/Datos!T16,(Datos!J16+Datos!AD16-(Datos!T16+Datos!AL16))/(Datos!T16+Datos!AL16))
     ),IF(D_I="SI",(Datos!J16-Datos!T16)/Datos!T16,(Datos!J16+Datos!AD16-(Datos!T16+Datos!AL16))/(Datos!T16+Datos!AL16))," - ")</f>
        <v>-8.3640836408364089E-2</v>
      </c>
      <c r="D16" s="473">
        <f>IF(ISNUMBER(
   IF(D_I="SI",(Datos!K16-Datos!U16)/Datos!U16,(Datos!K16+Datos!AE16-(Datos!U16+Datos!AM16))/(Datos!U16+Datos!AM16))
     ),IF(D_I="SI",(Datos!K16-Datos!U16)/Datos!U16,(Datos!K16+Datos!AE16-(Datos!U16+Datos!AM16))/(Datos!U16+Datos!AM16))," - ")</f>
        <v>-0.22365765038352847</v>
      </c>
      <c r="E16" s="473">
        <f>IF(ISNUMBER(
   IF(D_I="SI",(Datos!L16-Datos!V16)/Datos!V16,(Datos!L16+Datos!AF16-(Datos!V16+Datos!AN16))/(Datos!V16+Datos!AN16))
     ),IF(D_I="SI",(Datos!L16-Datos!V16)/Datos!V16,(Datos!L16+Datos!AF16-(Datos!V16+Datos!AN16))/(Datos!V16+Datos!AN16))," - ")</f>
        <v>0.22835990888382687</v>
      </c>
      <c r="F16" s="473">
        <f>IF(ISNUMBER((Datos!M16-Datos!W16)/Datos!W16),(Datos!M16-Datos!W16)/Datos!W16," - ")</f>
        <v>-0.20479302832244009</v>
      </c>
      <c r="G16" s="474">
        <f>IF(ISNUMBER((Datos!N16-Datos!X16)/Datos!X16),(Datos!N16-Datos!X16)/Datos!X16," - ")</f>
        <v>-0.19093851132686085</v>
      </c>
      <c r="H16" s="472">
        <f>IF(ISNUMBER(((NºAsuntos!G16/NºAsuntos!E16)-Datos!BD16)/Datos!BD16),((NºAsuntos!G16/NºAsuntos!E16)-Datos!BD16)/Datos!BD16," - ")</f>
        <v>-0.15279687216350157</v>
      </c>
      <c r="I16" s="473">
        <f>IF(ISNUMBER(((NºAsuntos!I16/NºAsuntos!G16)-Datos!BE16)/Datos!BE16),((NºAsuntos!I16/NºAsuntos!G16)-Datos!BE16)/Datos!BE16," - ")</f>
        <v>0.58223998663818988</v>
      </c>
      <c r="J16" s="478">
        <f>IF(ISNUMBER((('Resol  Asuntos'!D16/NºAsuntos!G16)-Datos!BF16)/Datos!BF16),(('Resol  Asuntos'!D16/NºAsuntos!G16)-Datos!BF16)/Datos!BF16," - ")</f>
        <v>2.4299359773955195E-2</v>
      </c>
      <c r="K16" s="479">
        <f>IF(ISNUMBER((((NºAsuntos!C16+NºAsuntos!E16)/NºAsuntos!G16)-Datos!BG16)/Datos!BG16),(((NºAsuntos!C16+NºAsuntos!E16)/NºAsuntos!G16)-Datos!BG16)/Datos!BG16," - ")</f>
        <v>0.24819352554898011</v>
      </c>
    </row>
    <row r="17" spans="1:12">
      <c r="A17" s="414" t="str">
        <f>Datos!A17</f>
        <v xml:space="preserve">Jdos. 1ª Instª. e Instr.                        </v>
      </c>
      <c r="B17" s="472" t="str">
        <f>IF(ISNUMBER(
   IF(D_I="SI",(Datos!I17-Datos!S17)/Datos!S17,(Datos!I17+Datos!AC17-(Datos!S17+Datos!AK17))/(Datos!S17+Datos!AK17))
     ),IF(D_I="SI",(Datos!I17-Datos!S17)/Datos!S17,(Datos!I17+Datos!AC17-(Datos!S17+Datos!AK17))/(Datos!S17+Datos!AK17))," - ")</f>
        <v xml:space="preserve"> - </v>
      </c>
      <c r="C17" s="473" t="str">
        <f>IF(ISNUMBER(
   IF(D_I="SI",(Datos!J17-Datos!T17)/Datos!T17,(Datos!J17+Datos!AD17-(Datos!T17+Datos!AL17))/(Datos!T17+Datos!AL17))
     ),IF(D_I="SI",(Datos!J17-Datos!T17)/Datos!T17,(Datos!J17+Datos!AD17-(Datos!T17+Datos!AL17))/(Datos!T17+Datos!AL17))," - ")</f>
        <v xml:space="preserve"> - </v>
      </c>
      <c r="D17" s="473" t="str">
        <f>IF(ISNUMBER(
   IF(D_I="SI",(Datos!K17-Datos!U17)/Datos!U17,(Datos!K17+Datos!AE17-(Datos!U17+Datos!AM17))/(Datos!U17+Datos!AM17))
     ),IF(D_I="SI",(Datos!K17-Datos!U17)/Datos!U17,(Datos!K17+Datos!AE17-(Datos!U17+Datos!AM17))/(Datos!U17+Datos!AM17))," - ")</f>
        <v xml:space="preserve"> - </v>
      </c>
      <c r="E17" s="473" t="str">
        <f>IF(ISNUMBER(
   IF(D_I="SI",(Datos!L17-Datos!V17)/Datos!V17,(Datos!L17+Datos!AF17-(Datos!V17+Datos!AN17))/(Datos!V17+Datos!AN17))
     ),IF(D_I="SI",(Datos!L17-Datos!V17)/Datos!V17,(Datos!L17+Datos!AF17-(Datos!V17+Datos!AN17))/(Datos!V17+Datos!AN17))," - ")</f>
        <v xml:space="preserve"> - </v>
      </c>
      <c r="F17" s="473" t="str">
        <f>IF(ISNUMBER((Datos!M17-Datos!W17)/Datos!W17),(Datos!M17-Datos!W17)/Datos!W17," - ")</f>
        <v xml:space="preserve"> - </v>
      </c>
      <c r="G17" s="474" t="str">
        <f>IF(ISNUMBER((Datos!N17-Datos!X17)/Datos!X17),(Datos!N17-Datos!X17)/Datos!X17," - ")</f>
        <v xml:space="preserve"> - </v>
      </c>
      <c r="H17" s="472" t="str">
        <f>IF(ISNUMBER(((NºAsuntos!G17/NºAsuntos!E17)-Datos!BD17)/Datos!BD17),((NºAsuntos!G17/NºAsuntos!E17)-Datos!BD17)/Datos!BD17," - ")</f>
        <v xml:space="preserve"> - </v>
      </c>
      <c r="I17" s="473" t="str">
        <f>IF(ISNUMBER(((NºAsuntos!I17/NºAsuntos!G17)-Datos!BE17)/Datos!BE17),((NºAsuntos!I17/NºAsuntos!G17)-Datos!BE17)/Datos!BE17," - ")</f>
        <v xml:space="preserve"> - </v>
      </c>
      <c r="J17" s="478" t="str">
        <f>IF(ISNUMBER((('Resol  Asuntos'!D17/NºAsuntos!G17)-Datos!BF17)/Datos!BF17),(('Resol  Asuntos'!D17/NºAsuntos!G17)-Datos!BF17)/Datos!BF17," - ")</f>
        <v xml:space="preserve"> - </v>
      </c>
      <c r="K17" s="479" t="str">
        <f>IF(ISNUMBER((((NºAsuntos!C17+NºAsuntos!E17)/NºAsuntos!G17)-Datos!BG17)/Datos!BG17),(((NºAsuntos!C17+NºAsuntos!E17)/NºAsuntos!G17)-Datos!BG17)/Datos!BG17," - ")</f>
        <v xml:space="preserve"> - </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-0.18100890207715134</v>
      </c>
      <c r="C18" s="473">
        <f>IF(ISNUMBER(
   IF(D_I="SI",(Datos!J18-Datos!T18)/Datos!T18,(Datos!J18+Datos!AD18-(Datos!T18+Datos!AL18))/(Datos!T18+Datos!AL18))
     ),IF(D_I="SI",(Datos!J18-Datos!T18)/Datos!T18,(Datos!J18+Datos!AD18-(Datos!T18+Datos!AL18))/(Datos!T18+Datos!AL18))," - ")</f>
        <v>3.8348082595870206E-2</v>
      </c>
      <c r="D18" s="473">
        <f>IF(ISNUMBER(
   IF(D_I="SI",(Datos!K18-Datos!U18)/Datos!U18,(Datos!K18+Datos!AE18-(Datos!U18+Datos!AM18))/(Datos!U18+Datos!AM18))
     ),IF(D_I="SI",(Datos!K18-Datos!U18)/Datos!U18,(Datos!K18+Datos!AE18-(Datos!U18+Datos!AM18))/(Datos!U18+Datos!AM18))," - ")</f>
        <v>-0.14987714987714987</v>
      </c>
      <c r="E18" s="473">
        <f>IF(ISNUMBER(
   IF(D_I="SI",(Datos!L18-Datos!V18)/Datos!V18,(Datos!L18+Datos!AF18-(Datos!V18+Datos!AN18))/(Datos!V18+Datos!AN18))
     ),IF(D_I="SI",(Datos!L18-Datos!V18)/Datos!V18,(Datos!L18+Datos!AF18-(Datos!V18+Datos!AN18))/(Datos!V18+Datos!AN18))," - ")</f>
        <v>4.8327137546468404E-2</v>
      </c>
      <c r="F18" s="473">
        <f>IF(ISNUMBER((Datos!M18-Datos!W18)/Datos!W18),(Datos!M18-Datos!W18)/Datos!W18," - ")</f>
        <v>-0.28000000000000003</v>
      </c>
      <c r="G18" s="474">
        <f>IF(ISNUMBER((Datos!N18-Datos!X18)/Datos!X18),(Datos!N18-Datos!X18)/Datos!X18," - ")</f>
        <v>0</v>
      </c>
      <c r="H18" s="472">
        <f>IF(ISNUMBER(((NºAsuntos!G18/NºAsuntos!E18)-Datos!BD18)/Datos!BD18),((NºAsuntos!G18/NºAsuntos!E18)-Datos!BD18)/Datos!BD18," - ")</f>
        <v>-0.18127373241009603</v>
      </c>
      <c r="I18" s="473">
        <f>IF(ISNUMBER(((NºAsuntos!I18/NºAsuntos!G18)-Datos!BE18)/Datos!BE18),((NºAsuntos!I18/NºAsuntos!G18)-Datos!BE18)/Datos!BE18," - ")</f>
        <v>0.23314781786535446</v>
      </c>
      <c r="J18" s="478">
        <f>IF(ISNUMBER((('Resol  Asuntos'!D18/NºAsuntos!G18)-Datos!BF18)/Datos!BF18),(('Resol  Asuntos'!D18/NºAsuntos!G18)-Datos!BF18)/Datos!BF18," - ")</f>
        <v>-0.15306358381502888</v>
      </c>
      <c r="K18" s="479">
        <f>IF(ISNUMBER((((NºAsuntos!C18+NºAsuntos!E18)/NºAsuntos!G18)-Datos!BG18)/Datos!BG18),(((NºAsuntos!C18+NºAsuntos!E18)/NºAsuntos!G18)-Datos!BG18)/Datos!BG18," - ")</f>
        <v>9.2776276635769817E-2</v>
      </c>
    </row>
    <row r="19" spans="1:12" ht="13.5" thickBot="1">
      <c r="A19" s="414" t="str">
        <f>Datos!A19</f>
        <v xml:space="preserve">Jdos. de Menores                                </v>
      </c>
      <c r="B19" s="472">
        <f>IF(ISNUMBER((Datos!I19-Datos!S19)/Datos!S19),(Datos!I19-Datos!S19)/Datos!S19," - ")</f>
        <v>0.35802469135802467</v>
      </c>
      <c r="C19" s="473">
        <f>IF(ISNUMBER((Datos!J19-Datos!T19)/Datos!T19),(Datos!J19-Datos!T19)/Datos!T19," - ")</f>
        <v>-0.20779220779220781</v>
      </c>
      <c r="D19" s="473">
        <f>IF(ISNUMBER((Datos!K19-Datos!U19)/Datos!U19),(Datos!K19-Datos!U19)/Datos!U19," - ")</f>
        <v>-1.2048192771084338E-2</v>
      </c>
      <c r="E19" s="473">
        <f>IF(ISNUMBER((Datos!L19-Datos!V19)/Datos!V19),(Datos!L19-Datos!V19)/Datos!V19," - ")</f>
        <v>0.17105263157894737</v>
      </c>
      <c r="F19" s="473">
        <f>IF(ISNUMBER((Datos!M19-Datos!W19)/Datos!W19),(Datos!M19-Datos!W19)/Datos!W19," - ")</f>
        <v>1.6129032258064516E-2</v>
      </c>
      <c r="G19" s="474">
        <f>IF(ISNUMBER((Datos!N19-Datos!X19)/Datos!X19),(Datos!N19-Datos!X19)/Datos!X19," - ")</f>
        <v>-9.5238095238095233E-2</v>
      </c>
      <c r="H19" s="472">
        <f>IF(ISNUMBER(((NºAsuntos!G19/NºAsuntos!E19)-Datos!BD19)/Datos!BD19),((NºAsuntos!G19/NºAsuntos!E19)-Datos!BD19)/Datos!BD19," - ")</f>
        <v>0.24708670748568035</v>
      </c>
      <c r="I19" s="473">
        <f>IF(ISNUMBER(((NºAsuntos!I19/NºAsuntos!G19)-Datos!BE19)/Datos!BE19),((NºAsuntos!I19/NºAsuntos!G19)-Datos!BE19)/Datos!BE19," - ")</f>
        <v>0.18533376123234932</v>
      </c>
      <c r="J19" s="478">
        <f>IF(ISNUMBER((('Resol  Asuntos'!D19/NºAsuntos!G19)-Datos!BF19)/Datos!BF19),(('Resol  Asuntos'!D19/NºAsuntos!G19)-Datos!BF19)/Datos!BF19," - ")</f>
        <v>2.8520849724626353E-2</v>
      </c>
      <c r="K19" s="479">
        <f>IF(ISNUMBER((((NºAsuntos!C19+NºAsuntos!E19)/NºAsuntos!G19)-Datos!BG19)/Datos!BG19),(((NºAsuntos!C19+NºAsuntos!E19)/NºAsuntos!G19)-Datos!BG19)/Datos!BG19," - ")</f>
        <v>9.5476999073788302E-2</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1.9301470588235295E-2</v>
      </c>
      <c r="C20" s="1002">
        <f>IF(ISNUMBER(
   IF(Criterios!B14="SI",(Datos!J20-Datos!T20)/Datos!T20,(Datos!J20+Datos!AD20-(Datos!T20+Datos!AL20))/(Datos!T20+Datos!AL20))
     ),IF(Criterios!B14="SI",(Datos!J20-Datos!T20)/Datos!T20,(Datos!J20+Datos!AD20-(Datos!T20+Datos!AL20))/(Datos!T20+Datos!AL20))," - ")</f>
        <v>-7.2504378283712784E-2</v>
      </c>
      <c r="D20" s="1002">
        <f>IF(ISNUMBER(
   IF(Criterios!B14="SI",(Datos!K20-Datos!U20)/Datos!U20,(Datos!K20+Datos!AE20-(Datos!U20+Datos!AM20))/(Datos!U20+Datos!AM20))
     ),IF(Criterios!B14="SI",(Datos!K20-Datos!U20)/Datos!U20,(Datos!K20+Datos!AE20-(Datos!U20+Datos!AM20))/(Datos!U20+Datos!AM20))," - ")</f>
        <v>-0.20761712167172228</v>
      </c>
      <c r="E20" s="1002">
        <f>IF(ISNUMBER(
   IF(Criterios!B14="SI",(Datos!L20-Datos!V20)/Datos!V20,(Datos!L20+Datos!AF20-(Datos!V20+Datos!AN20))/(Datos!V20+Datos!AN20))
     ),IF(Criterios!B14="SI",(Datos!L20-Datos!V20)/Datos!V20,(Datos!L20+Datos!AF20-(Datos!V20+Datos!AN20))/(Datos!V20+Datos!AN20))," - ")</f>
        <v>0.20323655402189433</v>
      </c>
      <c r="F20" s="1003">
        <f>IF(ISNUMBER((Datos!M20-Datos!W20)/Datos!W20),(Datos!M20-Datos!W20)/Datos!W20," - ")</f>
        <v>-0.18315018315018314</v>
      </c>
      <c r="G20" s="1004">
        <f>IF(ISNUMBER((Datos!N20-Datos!X20)/Datos!X20),(Datos!N20-Datos!X20)/Datos!X20," - ")</f>
        <v>-0.16402481047553411</v>
      </c>
      <c r="H20" s="1004">
        <f>IF(ISNUMBER(((NºAsuntos!G20/NºAsuntos!E20)-Datos!BD20)/Datos!BD20),((NºAsuntos!G20/NºAsuntos!E20)-Datos!BD20)/Datos!BD20," - ")</f>
        <v>-0.14567480452143769</v>
      </c>
      <c r="I20" s="1004">
        <f>IF(ISNUMBER(((NºAsuntos!I20/NºAsuntos!G20)-Datos!BE20)/Datos!BE20),((NºAsuntos!I20/NºAsuntos!G20)-Datos!BE20)/Datos!BE20," - ")</f>
        <v>0.51850397949083804</v>
      </c>
      <c r="J20" s="1004">
        <f>IF(ISNUMBER((('Resol  Asuntos'!D20/NºAsuntos!G20)-Datos!BF20)/Datos!BF20),(('Resol  Asuntos'!D20/NºAsuntos!G20)-Datos!BF20)/Datos!BF20," - ")</f>
        <v>3.0877671881500174E-2</v>
      </c>
      <c r="K20" s="1004">
        <f>IF(ISNUMBER((((NºAsuntos!C20+NºAsuntos!E20)/NºAsuntos!G20)-Datos!BG20)/Datos!BG20),(((NºAsuntos!C20+NºAsuntos!E20)/NºAsuntos!G20)-Datos!BG20)/Datos!BG20," - ")</f>
        <v>0.22062624742335502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0.1585740626920713</v>
      </c>
      <c r="C21" s="949">
        <f>IF(ISNUMBER(
   IF(J_V="SI",(Datos!J21-Datos!T21)/Datos!T21,(Datos!J21+Datos!Z21-(Datos!T21+Datos!AH21))/(Datos!T21+Datos!AH21))
     ),IF(J_V="SI",(Datos!J21-Datos!T21)/Datos!T21,(Datos!J21+Datos!Z21-(Datos!T21+Datos!AH21))/(Datos!T21+Datos!AH21))," - ")</f>
        <v>5.1831841971973665E-2</v>
      </c>
      <c r="D21" s="949">
        <f>IF(ISNUMBER(
   IF(J_V="SI",(Datos!K21-Datos!U21)/Datos!U21,(Datos!K21+Datos!AA21-(Datos!U21+Datos!AI21))/(Datos!U21+Datos!AI21))
     ),IF(J_V="SI",(Datos!K21-Datos!U21)/Datos!U21,(Datos!K21+Datos!AA21-(Datos!U21+Datos!AI21))/(Datos!U21+Datos!AI21))," - ")</f>
        <v>-4.8126503953248537E-2</v>
      </c>
      <c r="E21" s="949">
        <f>IF(ISNUMBER(
   IF(J_V="SI",(Datos!L21-Datos!V21)/Datos!V21,(Datos!L21+Datos!AB21-(Datos!V21+Datos!AJ21))/(Datos!V21+Datos!AJ21))
     ),IF(J_V="SI",(Datos!L21-Datos!V21)/Datos!V21,(Datos!L21+Datos!AB21-(Datos!V21+Datos!AJ21))/(Datos!V21+Datos!AJ21))," - ")</f>
        <v>0.22336313119110895</v>
      </c>
      <c r="F21" s="950">
        <f>IF(ISNUMBER((Datos!M21-Datos!W21)/Datos!W21),(Datos!M21-Datos!W21)/Datos!W21," - ")</f>
        <v>-7.1942446043165464E-2</v>
      </c>
      <c r="G21" s="951">
        <f>IF(ISNUMBER((Datos!N21-Datos!X21)/Datos!X21),(Datos!N21-Datos!X21)/Datos!X21," - ")</f>
        <v>2.443064182194617E-2</v>
      </c>
      <c r="H21" s="952">
        <f>IF(ISNUMBER((Tasas!B21-Datos!BD21)/Datos!BD21),(Tasas!B21-Datos!BD21)/Datos!BD21," - ")</f>
        <v>-9.5032629681395003E-2</v>
      </c>
      <c r="I21" s="953">
        <f>IF(ISNUMBER((Tasas!C21-Datos!BE21)/Datos!BE21),(Tasas!C21-Datos!BE21)/Datos!BE21," - ")</f>
        <v>0.28521608834775597</v>
      </c>
      <c r="J21" s="954">
        <f>IF(ISNUMBER((Tasas!D21-Datos!BF21)/Datos!BF21),(Tasas!D21-Datos!BF21)/Datos!BF21," - ")</f>
        <v>-0.19118044319785257</v>
      </c>
      <c r="K21" s="954">
        <f>IF(ISNUMBER((Tasas!E21-Datos!BG21)/Datos!BG21),(Tasas!E21-Datos!BG21)/Datos!BG21," - ")</f>
        <v>0.16990419559354292</v>
      </c>
    </row>
    <row r="22" spans="1:12">
      <c r="A22" s="423"/>
      <c r="B22" s="423"/>
      <c r="C22" s="423"/>
      <c r="D22" s="423"/>
      <c r="E22" s="423"/>
    </row>
    <row r="23" spans="1:12" ht="70.5" customHeight="1">
      <c r="A23" s="1389" t="s">
        <v>169</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5L/DgzPQp7W4JVSeqTlpNF0UsBgqKcClbDXw0290LqLWZ7q7t0cSkxXknd9J1jN99e9SeA9LGf8uDddln/Cwg==" saltValue="LA4XQgDczULbneebeQVfoA=="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CADIZ</v>
      </c>
    </row>
    <row r="4" spans="1:7" ht="11.25" customHeight="1" thickBot="1">
      <c r="B4" s="403" t="str">
        <f>Criterios!A11 &amp;"  "&amp;Criterios!B11</f>
        <v>Resumenes por Partidos Judiciales  JEREZ DE LA FRONTERA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f>IF(ISNUMBER(NºAsuntos!G9/NºAsuntos!E9),NºAsuntos!G9/NºAsuntos!E9," - ")</f>
        <v>0.84743630072349796</v>
      </c>
      <c r="C9" s="460">
        <f>IF(ISNUMBER(NºAsuntos!I9/NºAsuntos!G9),NºAsuntos!I9/NºAsuntos!G9," - ")</f>
        <v>2.3960653303637716</v>
      </c>
      <c r="D9" s="461">
        <f>IF(ISNUMBER('Resol  Asuntos'!D9/NºAsuntos!G9),'Resol  Asuntos'!D9/NºAsuntos!G9," - ")</f>
        <v>0.21269487750556793</v>
      </c>
      <c r="E9" s="462">
        <f>IF(ISNUMBER((NºAsuntos!C9+NºAsuntos!E9)/NºAsuntos!G9),(NºAsuntos!C9+NºAsuntos!E9)/NºAsuntos!G9," - ")</f>
        <v>3.3960653303637716</v>
      </c>
      <c r="G9" s="480"/>
    </row>
    <row r="10" spans="1:7">
      <c r="A10" s="414" t="str">
        <f>Datos!A10</f>
        <v>Jdos. Violencia contra la mujer</v>
      </c>
      <c r="B10" s="459">
        <f>IF(ISNUMBER(NºAsuntos!G10/NºAsuntos!E10),NºAsuntos!G10/NºAsuntos!E10," - ")</f>
        <v>0.921875</v>
      </c>
      <c r="C10" s="460">
        <f>IF(ISNUMBER(NºAsuntos!I10/NºAsuntos!G10),NºAsuntos!I10/NºAsuntos!G10," - ")</f>
        <v>2.3050847457627119</v>
      </c>
      <c r="D10" s="461">
        <f>IF(ISNUMBER('Resol  Asuntos'!D10/NºAsuntos!G10),'Resol  Asuntos'!D10/NºAsuntos!G10," - ")</f>
        <v>0.4576271186440678</v>
      </c>
      <c r="E10" s="462">
        <f>IF(ISNUMBER((NºAsuntos!C10+NºAsuntos!E10)/NºAsuntos!G10),(NºAsuntos!C10+NºAsuntos!E10)/NºAsuntos!G10," - ")</f>
        <v>3.3559322033898304</v>
      </c>
      <c r="G10" s="480"/>
    </row>
    <row r="11" spans="1:7">
      <c r="A11" s="414" t="str">
        <f>Datos!A11</f>
        <v xml:space="preserve">Jdos. Familia                                   </v>
      </c>
      <c r="B11" s="459">
        <f>IF(ISNUMBER(NºAsuntos!G11/NºAsuntos!E11),NºAsuntos!G11/NºAsuntos!E11," - ")</f>
        <v>1.28023598820059</v>
      </c>
      <c r="C11" s="460">
        <f>IF(ISNUMBER(NºAsuntos!I11/NºAsuntos!G11),NºAsuntos!I11/NºAsuntos!G11," - ")</f>
        <v>2.3225806451612905</v>
      </c>
      <c r="D11" s="461">
        <f>IF(ISNUMBER('Resol  Asuntos'!D11/NºAsuntos!G11),'Resol  Asuntos'!D11/NºAsuntos!G11," - ")</f>
        <v>0.26497695852534564</v>
      </c>
      <c r="E11" s="462">
        <f>IF(ISNUMBER((NºAsuntos!C11+NºAsuntos!E11)/NºAsuntos!G11),(NºAsuntos!C11+NºAsuntos!E11)/NºAsuntos!G11," - ")</f>
        <v>3.3225806451612905</v>
      </c>
      <c r="G11" s="480"/>
    </row>
    <row r="12" spans="1:7">
      <c r="A12" s="414" t="str">
        <f>Datos!A12</f>
        <v xml:space="preserve">Jdos. 1ª Instª. e Instr.                        </v>
      </c>
      <c r="B12" s="459" t="str">
        <f>IF(ISNUMBER(NºAsuntos!G12/NºAsuntos!E12),NºAsuntos!G12/NºAsuntos!E12," - ")</f>
        <v xml:space="preserve"> - </v>
      </c>
      <c r="C12" s="460" t="str">
        <f>IF(ISNUMBER(NºAsuntos!I12/NºAsuntos!G12),NºAsuntos!I12/NºAsuntos!G12," - ")</f>
        <v xml:space="preserve"> - </v>
      </c>
      <c r="D12" s="461" t="str">
        <f>IF(ISNUMBER('Resol  Asuntos'!D12/NºAsuntos!G12),'Resol  Asuntos'!D12/NºAsuntos!G12," - ")</f>
        <v xml:space="preserve"> - </v>
      </c>
      <c r="E12" s="462" t="str">
        <f>IF(ISNUMBER((NºAsuntos!C12+NºAsuntos!E12)/NºAsuntos!G12),(NºAsuntos!C12+NºAsuntos!E12)/NºAsuntos!G12," - ")</f>
        <v xml:space="preserve"> - </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0.88972640982691231</v>
      </c>
      <c r="C14" s="1006">
        <f>IF(ISNUMBER(NºAsuntos!I14/NºAsuntos!G14),NºAsuntos!I14/NºAsuntos!G14," - ")</f>
        <v>2.3843740194540319</v>
      </c>
      <c r="D14" s="1007">
        <f>IF(ISNUMBER('Resol  Asuntos'!D14/NºAsuntos!G14),'Resol  Asuntos'!D14/NºAsuntos!G14," - ")</f>
        <v>0.22434891747725133</v>
      </c>
      <c r="E14" s="1008">
        <f>IF(ISNUMBER((NºAsuntos!C14+NºAsuntos!E14)/NºAsuntos!G14),(NºAsuntos!C14+NºAsuntos!E14)/NºAsuntos!G14," - ")</f>
        <v>3.385315343583307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f>IF(ISNUMBER(NºAsuntos!G16/NºAsuntos!E16),NºAsuntos!G16/NºAsuntos!E16," - ")</f>
        <v>0.86040268456375835</v>
      </c>
      <c r="C16" s="460">
        <f>IF(ISNUMBER(NºAsuntos!I16/NºAsuntos!G16),NºAsuntos!I16/NºAsuntos!G16," - ")</f>
        <v>1.1216848673946958</v>
      </c>
      <c r="D16" s="461">
        <f>IF(ISNUMBER('Resol  Asuntos'!D16/NºAsuntos!G16),'Resol  Asuntos'!D16/NºAsuntos!G16," - ")</f>
        <v>0.18980759230369215</v>
      </c>
      <c r="E16" s="462">
        <f>IF(ISNUMBER((NºAsuntos!C16+NºAsuntos!E16)/NºAsuntos!G16),(NºAsuntos!C16+NºAsuntos!E16)/NºAsuntos!G16," - ")</f>
        <v>2.1149245969838795</v>
      </c>
      <c r="G16" s="480"/>
    </row>
    <row r="17" spans="1:7">
      <c r="A17" s="414" t="str">
        <f>Datos!A17</f>
        <v xml:space="preserve">Jdos. 1ª Instª. e Instr.                        </v>
      </c>
      <c r="B17" s="459" t="str">
        <f>IF(ISNUMBER(NºAsuntos!G17/NºAsuntos!E17),NºAsuntos!G17/NºAsuntos!E17," - ")</f>
        <v xml:space="preserve"> - </v>
      </c>
      <c r="C17" s="460" t="str">
        <f>IF(ISNUMBER(NºAsuntos!I17/NºAsuntos!G17),NºAsuntos!I17/NºAsuntos!G17," - ")</f>
        <v xml:space="preserve"> - </v>
      </c>
      <c r="D17" s="461" t="str">
        <f>IF(ISNUMBER('Resol  Asuntos'!D17/NºAsuntos!G17),'Resol  Asuntos'!D17/NºAsuntos!G17," - ")</f>
        <v xml:space="preserve"> - </v>
      </c>
      <c r="E17" s="462" t="str">
        <f>IF(ISNUMBER((NºAsuntos!C17+NºAsuntos!E17)/NºAsuntos!G17),(NºAsuntos!C17+NºAsuntos!E17)/NºAsuntos!G17," - ")</f>
        <v xml:space="preserve"> - </v>
      </c>
      <c r="G17" s="480"/>
    </row>
    <row r="18" spans="1:7">
      <c r="A18" s="414" t="str">
        <f>Datos!A18</f>
        <v>Jdos. Violencia contra la mujer</v>
      </c>
      <c r="B18" s="459">
        <f>IF(ISNUMBER(NºAsuntos!G18/NºAsuntos!E18),NºAsuntos!G18/NºAsuntos!E18," - ")</f>
        <v>0.98295454545454541</v>
      </c>
      <c r="C18" s="460">
        <f>IF(ISNUMBER(NºAsuntos!I18/NºAsuntos!G18),NºAsuntos!I18/NºAsuntos!G18," - ")</f>
        <v>0.81502890173410403</v>
      </c>
      <c r="D18" s="461">
        <f>IF(ISNUMBER('Resol  Asuntos'!D18/NºAsuntos!G18),'Resol  Asuntos'!D18/NºAsuntos!G18," - ")</f>
        <v>5.2023121387283239E-2</v>
      </c>
      <c r="E18" s="462">
        <f>IF(ISNUMBER((NºAsuntos!C18+NºAsuntos!E18)/NºAsuntos!G18),(NºAsuntos!C18+NºAsuntos!E18)/NºAsuntos!G18," - ")</f>
        <v>1.8150289017341041</v>
      </c>
      <c r="G18" s="480"/>
    </row>
    <row r="19" spans="1:7" ht="13.5" thickBot="1">
      <c r="A19" s="414" t="str">
        <f>Datos!A19</f>
        <v xml:space="preserve">Jdos. de Menores                                </v>
      </c>
      <c r="B19" s="459">
        <f>IF(ISNUMBER(NºAsuntos!G19/NºAsuntos!E19),NºAsuntos!G19/NºAsuntos!E19," - ")</f>
        <v>1.3442622950819672</v>
      </c>
      <c r="C19" s="460">
        <f>IF(ISNUMBER(NºAsuntos!I19/NºAsuntos!G19),NºAsuntos!I19/NºAsuntos!G19," - ")</f>
        <v>1.0853658536585367</v>
      </c>
      <c r="D19" s="461">
        <f>IF(ISNUMBER('Resol  Asuntos'!D19/NºAsuntos!G19),'Resol  Asuntos'!D19/NºAsuntos!G19," - ")</f>
        <v>0.76829268292682928</v>
      </c>
      <c r="E19" s="462">
        <f>IF(ISNUMBER((NºAsuntos!C19+NºAsuntos!E19)/NºAsuntos!G19),(NºAsuntos!C19+NºAsuntos!E19)/NºAsuntos!G19," - ")</f>
        <v>2.0853658536585367</v>
      </c>
      <c r="G19" s="480"/>
    </row>
    <row r="20" spans="1:7" ht="14.25" thickTop="1" thickBot="1">
      <c r="A20" s="995" t="str">
        <f>Datos!A20</f>
        <v>TOTAL</v>
      </c>
      <c r="B20" s="1005">
        <f>IF(ISNUMBER(NºAsuntos!G20/NºAsuntos!E20),NºAsuntos!G20/NºAsuntos!E20," - ")</f>
        <v>0.88783987915407858</v>
      </c>
      <c r="C20" s="1006">
        <f>IF(ISNUMBER(NºAsuntos!I20/NºAsuntos!G20),NºAsuntos!I20/NºAsuntos!G20," - ")</f>
        <v>1.0752871118672904</v>
      </c>
      <c r="D20" s="1009">
        <f>IF(ISNUMBER('Resol  Asuntos'!D20/NºAsuntos!G20),'Resol  Asuntos'!D20/NºAsuntos!G20," - ")</f>
        <v>0.18970650786899193</v>
      </c>
      <c r="E20" s="1008">
        <f>IF(ISNUMBER((NºAsuntos!C20+NºAsuntos!E20)/NºAsuntos!G20),(NºAsuntos!C20+NºAsuntos!E20)/NºAsuntos!G20," - ")</f>
        <v>2.0697575499787324</v>
      </c>
      <c r="G20" s="480"/>
    </row>
    <row r="21" spans="1:7" ht="15.75" customHeight="1" thickTop="1" thickBot="1">
      <c r="A21" s="940" t="str">
        <f>Datos!A21</f>
        <v>TOTAL JURISDICCIONES</v>
      </c>
      <c r="B21" s="955">
        <f>IF(ISNUMBER(NºAsuntos!G21/NºAsuntos!E21),NºAsuntos!G21/NºAsuntos!E21," - ")</f>
        <v>0.88892455858747998</v>
      </c>
      <c r="C21" s="956">
        <f>IF(ISNUMBER(NºAsuntos!I21/NºAsuntos!G21),NºAsuntos!I21/NºAsuntos!G21," - ")</f>
        <v>1.8286384976525822</v>
      </c>
      <c r="D21" s="957">
        <f>IF(ISNUMBER('Resol  Asuntos'!D21/NºAsuntos!G21),'Resol  Asuntos'!D21/NºAsuntos!G21," - ")</f>
        <v>0.2096424702058505</v>
      </c>
      <c r="E21" s="958">
        <f>IF(ISNUMBER((NºAsuntos!C21+NºAsuntos!E21)/NºAsuntos!G21),(NºAsuntos!C21+NºAsuntos!E21)/NºAsuntos!G21," - ")</f>
        <v>2.8268327916215239</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sWOP/GFmJ7LdLuMoVpBkMU5mw5Eh0frod9L1ZZYPFxMEqp7ccB0X3tir4cFO9sVqQrf3xxapP/dX7+YIf01Klg==" saltValue="/K17rqgqyI5LGe3Q6ym1+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CADIZ</v>
      </c>
      <c r="N2" s="339" t="str">
        <f>Criterios!A11 &amp;"  "&amp;Criterios!B11</f>
        <v>Resumenes por Partidos Judiciales  JEREZ DE LA FRONTERA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390</v>
      </c>
      <c r="B5" s="277"/>
      <c r="C5" s="1427" t="str">
        <f>"Año:  " &amp;Criterios!B$5 &amp; "          Trimestre   " &amp;Criterios!D$5 &amp; " al " &amp;Criterios!D$6</f>
        <v>Año:  2023          Trimestre   1 al 1</v>
      </c>
      <c r="D5" s="1406" t="s">
        <v>416</v>
      </c>
      <c r="E5" s="1406" t="s">
        <v>351</v>
      </c>
      <c r="F5" s="1429" t="s">
        <v>447</v>
      </c>
      <c r="G5" s="1432" t="s">
        <v>140</v>
      </c>
      <c r="H5" s="1412" t="s">
        <v>181</v>
      </c>
      <c r="I5" s="1412" t="s">
        <v>185</v>
      </c>
      <c r="J5" s="1412" t="s">
        <v>186</v>
      </c>
      <c r="K5" s="1412" t="s">
        <v>448</v>
      </c>
      <c r="L5" s="1412" t="s">
        <v>647</v>
      </c>
      <c r="M5" s="1412" t="s">
        <v>355</v>
      </c>
      <c r="N5" s="1412" t="s">
        <v>417</v>
      </c>
      <c r="O5" s="1412" t="s">
        <v>450</v>
      </c>
      <c r="P5" s="1412" t="s">
        <v>184</v>
      </c>
      <c r="Q5" s="1412" t="s">
        <v>42</v>
      </c>
      <c r="R5" s="1438" t="s">
        <v>187</v>
      </c>
      <c r="S5" s="1441" t="s">
        <v>190</v>
      </c>
      <c r="T5" s="1459" t="s">
        <v>191</v>
      </c>
      <c r="U5" s="1456" t="s">
        <v>192</v>
      </c>
      <c r="V5" s="1450" t="s">
        <v>353</v>
      </c>
      <c r="W5" s="1415" t="s">
        <v>193</v>
      </c>
      <c r="X5" s="1418" t="s">
        <v>194</v>
      </c>
      <c r="Y5" s="1418" t="s">
        <v>195</v>
      </c>
      <c r="Z5" s="1453" t="s">
        <v>196</v>
      </c>
      <c r="AA5" s="1409" t="s">
        <v>197</v>
      </c>
      <c r="AB5" s="1412" t="s">
        <v>198</v>
      </c>
      <c r="AC5" s="1412" t="s">
        <v>199</v>
      </c>
      <c r="AD5" s="1421" t="s">
        <v>200</v>
      </c>
      <c r="AE5" s="1406" t="s">
        <v>203</v>
      </c>
      <c r="AF5" s="1444" t="s">
        <v>201</v>
      </c>
      <c r="AG5" s="1412" t="s">
        <v>202</v>
      </c>
      <c r="AH5" s="1438" t="s">
        <v>221</v>
      </c>
      <c r="AI5" s="1409" t="s">
        <v>204</v>
      </c>
      <c r="AJ5" s="1447" t="s">
        <v>273</v>
      </c>
      <c r="AK5" s="1435" t="s">
        <v>274</v>
      </c>
      <c r="AL5" s="1406" t="s">
        <v>275</v>
      </c>
      <c r="AM5" s="1406" t="s">
        <v>398</v>
      </c>
      <c r="AN5" s="1406" t="s">
        <v>276</v>
      </c>
      <c r="AO5" s="1406" t="s">
        <v>277</v>
      </c>
      <c r="AP5" s="1406" t="s">
        <v>330</v>
      </c>
      <c r="AQ5" s="1406" t="s">
        <v>205</v>
      </c>
      <c r="AR5" s="1406" t="s">
        <v>206</v>
      </c>
      <c r="AS5" s="1406" t="s">
        <v>428</v>
      </c>
      <c r="AT5" s="1406" t="s">
        <v>320</v>
      </c>
      <c r="AU5" s="1406" t="s">
        <v>321</v>
      </c>
      <c r="AV5" s="1406" t="s">
        <v>369</v>
      </c>
      <c r="AW5" s="1406" t="s">
        <v>914</v>
      </c>
      <c r="AX5" s="1406" t="s">
        <v>354</v>
      </c>
      <c r="AY5" s="1406" t="s">
        <v>820</v>
      </c>
      <c r="AZ5" s="1406" t="s">
        <v>821</v>
      </c>
      <c r="BF5" s="1464" t="s">
        <v>222</v>
      </c>
      <c r="BG5" s="1465"/>
      <c r="BH5" s="1464" t="s">
        <v>223</v>
      </c>
      <c r="BI5" s="1465"/>
      <c r="BJ5" s="1464" t="s">
        <v>224</v>
      </c>
      <c r="BK5" s="1465"/>
      <c r="BL5" s="1464" t="s">
        <v>225</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182</v>
      </c>
      <c r="BG6" s="1462" t="s">
        <v>183</v>
      </c>
      <c r="BH6" s="1462" t="s">
        <v>182</v>
      </c>
      <c r="BI6" s="1462" t="s">
        <v>183</v>
      </c>
      <c r="BJ6" s="1462" t="s">
        <v>182</v>
      </c>
      <c r="BK6" s="1462" t="s">
        <v>183</v>
      </c>
      <c r="BL6" s="1462" t="s">
        <v>182</v>
      </c>
      <c r="BM6" s="1462" t="s">
        <v>183</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7</v>
      </c>
      <c r="B9" s="182" t="s">
        <v>272</v>
      </c>
      <c r="C9" s="165" t="str">
        <f>Datos!A9</f>
        <v xml:space="preserve">Jdos. 1ª Instancia   </v>
      </c>
      <c r="D9" s="165"/>
      <c r="E9" s="1205">
        <f>IF(ISNUMBER(Datos!AQ9),Datos!AQ9," - ")</f>
        <v>7</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1095</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f>IF(ISNUMBER(Datos!Q9),Datos!Q9," - ")</f>
        <v>1065</v>
      </c>
      <c r="Y9" s="344">
        <f>SUM(W9:X9)</f>
        <v>1065</v>
      </c>
      <c r="Z9" s="345" t="str">
        <f>IF(ISNUMBER(Datos!CC9),Datos!CC9," - ")</f>
        <v xml:space="preserve"> - </v>
      </c>
      <c r="AA9" s="342" t="str">
        <f>IF(ISNUMBER(IF(J_V="SI",Datos!L9,Datos!L9+Datos!AB9)-IF(Monitorios="SI",Datos!CD9,0)),
                          IF(J_V="SI",Datos!L9,Datos!L9+Datos!AB9)-IF(Monitorios="SI",Datos!CD9,0),
                          " - ")</f>
        <v xml:space="preserve"> - </v>
      </c>
      <c r="AB9" s="344">
        <f>IF(ISNUMBER(Datos!R9),Datos!R9," - ")</f>
        <v>10516</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f>IF(ISNUMBER(Datos!M9),Datos!M9," - ")</f>
        <v>573</v>
      </c>
      <c r="AJ9" s="234" t="str">
        <f>IF(ISNUMBER(Datos!BW9),Datos!BW9," - ")</f>
        <v xml:space="preserve"> - </v>
      </c>
      <c r="AK9" s="233" t="str">
        <f>IF(ISNUMBER(Datos!BX9),Datos!BX9," - ")</f>
        <v xml:space="preserve"> - </v>
      </c>
      <c r="AL9" s="248">
        <f>IF(ISNUMBER(NºAsuntos!G9/NºAsuntos!E9),NºAsuntos!G9/NºAsuntos!E9," - ")</f>
        <v>0.84743630072349796</v>
      </c>
      <c r="AM9" s="265">
        <f>IF(ISNUMBER(((NºAsuntos!I9/NºAsuntos!G9)*11)/factor_trimestre),((NºAsuntos!I9/NºAsuntos!G9)*11)/factor_trimestre," - ")</f>
        <v>7.1881959910913151</v>
      </c>
      <c r="AN9" s="249">
        <f>IF(ISNUMBER('Resol  Asuntos'!D9/NºAsuntos!G9),'Resol  Asuntos'!D9/NºAsuntos!G9," - ")</f>
        <v>0.21269487750556793</v>
      </c>
      <c r="AO9" s="250">
        <f>IF(ISNUMBER((NºAsuntos!C9+NºAsuntos!E9)/NºAsuntos!G9),(NºAsuntos!C9+NºAsuntos!E9)/NºAsuntos!G9," - ")</f>
        <v>3.3960653303637716</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272</v>
      </c>
      <c r="C10" s="7" t="str">
        <f>Datos!A10</f>
        <v>Jdos. Violencia contra la mujer</v>
      </c>
      <c r="D10" s="7"/>
      <c r="E10" s="1205">
        <f>IF(ISNUMBER(Datos!AQ10),Datos!AQ10," - ")</f>
        <v>1</v>
      </c>
      <c r="F10" s="230">
        <f>IF(ISNUMBER(Datos!L10+Datos!K10-Datos!J10-K10),Datos!L10+Datos!K10-Datos!J10-K10," - ")</f>
        <v>131</v>
      </c>
      <c r="G10" s="343">
        <f>IF(ISNUMBER(Datos!I10),Datos!I10," - ")</f>
        <v>134</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21</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59</v>
      </c>
      <c r="X10" s="231">
        <f>IF(ISNUMBER(Datos!Q10),Datos!Q10," - ")</f>
        <v>30</v>
      </c>
      <c r="Y10" s="344">
        <f t="shared" ref="Y10:Y13" si="0">SUM(W10:X10)</f>
        <v>89</v>
      </c>
      <c r="Z10" s="345" t="str">
        <f>IF(ISNUMBER(Datos!CC10),Datos!CC10," - ")</f>
        <v xml:space="preserve"> - </v>
      </c>
      <c r="AA10" s="342">
        <f>IF(ISNUMBER(Datos!L10),Datos!L10,"-")</f>
        <v>136</v>
      </c>
      <c r="AB10" s="344">
        <f>IF(ISNUMBER(Datos!R10),Datos!R10," - ")</f>
        <v>146</v>
      </c>
      <c r="AC10" s="344">
        <f t="shared" ref="AC10:AC13" si="1">IF(ISNUMBER(AA10+AB10),AA10+AB10," - ")</f>
        <v>282</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27</v>
      </c>
      <c r="AJ10" s="236" t="str">
        <f>IF(ISNUMBER(Datos!BW10),Datos!BW10," - ")</f>
        <v xml:space="preserve"> - </v>
      </c>
      <c r="AK10" s="237" t="str">
        <f>IF(ISNUMBER(Datos!BX10),Datos!BX10," - ")</f>
        <v xml:space="preserve"> - </v>
      </c>
      <c r="AL10" s="248">
        <f>IF(ISNUMBER(NºAsuntos!G10/NºAsuntos!E10),NºAsuntos!G10/NºAsuntos!E10," - ")</f>
        <v>0.921875</v>
      </c>
      <c r="AM10" s="265">
        <f>IF(ISNUMBER(((NºAsuntos!I10/NºAsuntos!G10)*11)/factor_trimestre),((NºAsuntos!I10/NºAsuntos!G10)*11)/factor_trimestre," - ")</f>
        <v>6.9152542372881358</v>
      </c>
      <c r="AN10" s="249">
        <f>IF(ISNUMBER('Resol  Asuntos'!D10/NºAsuntos!G10),'Resol  Asuntos'!D10/NºAsuntos!G10," - ")</f>
        <v>0.4576271186440678</v>
      </c>
      <c r="AO10" s="250">
        <f>IF(ISNUMBER((NºAsuntos!C10+NºAsuntos!E10)/NºAsuntos!G10),(NºAsuntos!C10+NºAsuntos!E10)/NºAsuntos!G10," - ")</f>
        <v>3.3559322033898304</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1</v>
      </c>
      <c r="B11" s="280" t="s">
        <v>272</v>
      </c>
      <c r="C11" s="7" t="str">
        <f>Datos!A11</f>
        <v xml:space="preserve">Jdos. Familia                                   </v>
      </c>
      <c r="D11" s="7"/>
      <c r="E11" s="1205">
        <f>IF(ISNUMBER(Datos!AQ11),Datos!AQ11," - ")</f>
        <v>1</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34</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f>IF(ISNUMBER(Datos!Q11),Datos!Q11," - ")</f>
        <v>58</v>
      </c>
      <c r="Y11" s="344">
        <f t="shared" si="0"/>
        <v>58</v>
      </c>
      <c r="Z11" s="345" t="str">
        <f>IF(ISNUMBER(Datos!CC11),Datos!CC11," - ")</f>
        <v xml:space="preserve"> - </v>
      </c>
      <c r="AA11" s="342" t="str">
        <f>IF(ISNUMBER(IF(J_V="SI",Datos!L11,Datos!L11+Datos!AB11)-IF(Monitorios="SI",Datos!CD11,0)),
                          IF(J_V="SI",Datos!L11,Datos!L11+Datos!AB11)-IF(Monitorios="SI",Datos!CD11,0),
                          " - ")</f>
        <v xml:space="preserve"> - </v>
      </c>
      <c r="AB11" s="344">
        <f>IF(ISNUMBER(Datos!R11),Datos!R11," - ")</f>
        <v>701</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f>IF(ISNUMBER(Datos!M11),Datos!M11," - ")</f>
        <v>115</v>
      </c>
      <c r="AJ11" s="236" t="str">
        <f>IF(ISNUMBER(Datos!BW11),Datos!BW11," - ")</f>
        <v xml:space="preserve"> - </v>
      </c>
      <c r="AK11" s="237" t="str">
        <f>IF(ISNUMBER(Datos!BX11),Datos!BX11," - ")</f>
        <v xml:space="preserve"> - </v>
      </c>
      <c r="AL11" s="248">
        <f>IF(ISNUMBER(NºAsuntos!G11/NºAsuntos!E11),NºAsuntos!G11/NºAsuntos!E11," - ")</f>
        <v>1.28023598820059</v>
      </c>
      <c r="AM11" s="265">
        <f>IF(ISNUMBER(((NºAsuntos!I11/NºAsuntos!G11)*11)/factor_trimestre),((NºAsuntos!I11/NºAsuntos!G11)*11)/factor_trimestre," - ")</f>
        <v>6.9677419354838719</v>
      </c>
      <c r="AN11" s="249">
        <f>IF(ISNUMBER('Resol  Asuntos'!D11/NºAsuntos!G11),'Resol  Asuntos'!D11/NºAsuntos!G11," - ")</f>
        <v>0.26497695852534564</v>
      </c>
      <c r="AO11" s="250">
        <f>IF(ISNUMBER((NºAsuntos!C11+NºAsuntos!E11)/NºAsuntos!G11),(NºAsuntos!C11+NºAsuntos!E11)/NºAsuntos!G11," - ")</f>
        <v>3.3225806451612905</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0</v>
      </c>
      <c r="B12" s="280" t="s">
        <v>272</v>
      </c>
      <c r="C12" s="7" t="str">
        <f>Datos!A12</f>
        <v xml:space="preserve">Jdos. 1ª Instª. e Instr.                        </v>
      </c>
      <c r="D12" s="7"/>
      <c r="E12" s="1205">
        <f>IF(ISNUMBER(Datos!AQ12),Datos!AQ12," - ")</f>
        <v>0</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t="str">
        <f>IF(ISNUMBER(Datos!Q12),Datos!Q12," - ")</f>
        <v xml:space="preserve"> - </v>
      </c>
      <c r="Y12" s="344">
        <f t="shared" si="0"/>
        <v>0</v>
      </c>
      <c r="Z12" s="345" t="str">
        <f>IF(ISNUMBER(Datos!CC12),Datos!CC12," - ")</f>
        <v xml:space="preserve"> - </v>
      </c>
      <c r="AA12" s="342" t="str">
        <f>IF(ISNUMBER(IF(J_V="SI",Datos!L12,Datos!L12+Datos!AB12)-IF(Monitorios="SI",Datos!CD12,0)),
                          IF(J_V="SI",Datos!L12,Datos!L12+Datos!AB12)-IF(Monitorios="SI",Datos!CD12,0),
                          " - ")</f>
        <v xml:space="preserve"> - </v>
      </c>
      <c r="AB12" s="344" t="str">
        <f>IF(ISNUMBER(Datos!R12),Datos!R12," - ")</f>
        <v xml:space="preserve"> - </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t="str">
        <f>IF(ISNUMBER(Datos!M12),Datos!M12," - ")</f>
        <v xml:space="preserve"> - </v>
      </c>
      <c r="AJ12" s="234" t="str">
        <f>IF(ISNUMBER(Datos!BW12),Datos!BW12," - ")</f>
        <v xml:space="preserve"> - </v>
      </c>
      <c r="AK12" s="233" t="str">
        <f>IF(ISNUMBER(Datos!BX12),Datos!BX12," - ")</f>
        <v xml:space="preserve"> - </v>
      </c>
      <c r="AL12" s="248" t="str">
        <f>IF(ISNUMBER(NºAsuntos!G12/NºAsuntos!E12),NºAsuntos!G12/NºAsuntos!E12," - ")</f>
        <v xml:space="preserve"> - </v>
      </c>
      <c r="AM12" s="265" t="str">
        <f>IF(ISNUMBER(((NºAsuntos!I12/NºAsuntos!G12)*11)/factor_trimestre),((NºAsuntos!I12/NºAsuntos!G12)*11)/factor_trimestre," - ")</f>
        <v xml:space="preserve"> - </v>
      </c>
      <c r="AN12" s="249" t="str">
        <f>IF(ISNUMBER('Resol  Asuntos'!D12/NºAsuntos!G12),'Resol  Asuntos'!D12/NºAsuntos!G12," - ")</f>
        <v xml:space="preserve"> - </v>
      </c>
      <c r="AO12" s="250" t="str">
        <f>IF(ISNUMBER((NºAsuntos!C12+NºAsuntos!E12)/NºAsuntos!G12),(NºAsuntos!C12+NºAsuntos!E12)/NºAsuntos!G12," - ")</f>
        <v xml:space="preserve"> - </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1</v>
      </c>
      <c r="B13" s="280" t="s">
        <v>272</v>
      </c>
      <c r="C13" s="7" t="str">
        <f>Datos!A13</f>
        <v xml:space="preserve">Jdos. de Menores    </v>
      </c>
      <c r="D13" s="7"/>
      <c r="E13" s="1205">
        <f>IF(ISNUMBER(Datos!AQ13),Datos!AQ13," - ")</f>
        <v>1</v>
      </c>
      <c r="F13" s="230">
        <f>IF(ISNUMBER(Datos!L13+Datos!K13-Datos!J13-K13),Datos!L13+Datos!K13-Datos!J13-K13," - ")</f>
        <v>0</v>
      </c>
      <c r="G13" s="343">
        <f>IF(ISNUMBER(Datos!I13),Datos!I13," - ")</f>
        <v>0</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f>IF(ISNUMBER(Datos!K13),Datos!K13," - ")</f>
        <v>0</v>
      </c>
      <c r="X13" s="231">
        <f>IF(ISNUMBER(Datos!Q13),Datos!Q13," - ")</f>
        <v>0</v>
      </c>
      <c r="Y13" s="344">
        <f t="shared" si="0"/>
        <v>0</v>
      </c>
      <c r="Z13" s="345" t="str">
        <f>IF(ISNUMBER(Datos!CC13),Datos!CC13," - ")</f>
        <v xml:space="preserve"> - </v>
      </c>
      <c r="AA13" s="342">
        <f>IF(ISNUMBER(Datos!L13),Datos!L13,"-")</f>
        <v>0</v>
      </c>
      <c r="AB13" s="344">
        <f>IF(ISNUMBER(Datos!R13),Datos!R13," - ")</f>
        <v>0</v>
      </c>
      <c r="AC13" s="344">
        <f t="shared" si="1"/>
        <v>0</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f>IF(ISNUMBER(Datos!M13),Datos!M13," - ")</f>
        <v>0</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10</v>
      </c>
      <c r="F14" s="1012">
        <f t="shared" si="5"/>
        <v>131</v>
      </c>
      <c r="G14" s="1013">
        <f t="shared" si="5"/>
        <v>134</v>
      </c>
      <c r="H14" s="1012">
        <f t="shared" si="5"/>
        <v>0</v>
      </c>
      <c r="I14" s="1014">
        <f t="shared" si="5"/>
        <v>0</v>
      </c>
      <c r="J14" s="1014">
        <f t="shared" si="5"/>
        <v>0</v>
      </c>
      <c r="K14" s="1014">
        <f t="shared" si="5"/>
        <v>0</v>
      </c>
      <c r="L14" s="1014">
        <f t="shared" si="5"/>
        <v>1150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59</v>
      </c>
      <c r="X14" s="1014">
        <f t="shared" si="6"/>
        <v>1153</v>
      </c>
      <c r="Y14" s="1015">
        <f t="shared" si="6"/>
        <v>1212</v>
      </c>
      <c r="Z14" s="1015">
        <f t="shared" si="6"/>
        <v>0</v>
      </c>
      <c r="AA14" s="1015">
        <f t="shared" si="6"/>
        <v>136</v>
      </c>
      <c r="AB14" s="1015">
        <f t="shared" si="6"/>
        <v>11363</v>
      </c>
      <c r="AC14" s="1015">
        <f t="shared" si="6"/>
        <v>282</v>
      </c>
      <c r="AD14" s="1015">
        <f t="shared" si="6"/>
        <v>0</v>
      </c>
      <c r="AE14" s="1019">
        <f t="shared" si="6"/>
        <v>0</v>
      </c>
      <c r="AF14" s="1012">
        <f t="shared" si="6"/>
        <v>0</v>
      </c>
      <c r="AG14" s="1020">
        <f t="shared" si="6"/>
        <v>0</v>
      </c>
      <c r="AH14" s="1017">
        <f t="shared" si="6"/>
        <v>0</v>
      </c>
      <c r="AI14" s="1012">
        <f t="shared" si="6"/>
        <v>715</v>
      </c>
      <c r="AJ14" s="1014">
        <f t="shared" si="6"/>
        <v>0</v>
      </c>
      <c r="AK14" s="1017">
        <f>SUBTOTAL(9,AK9:AK13)</f>
        <v>0</v>
      </c>
      <c r="AL14" s="1021">
        <f>IF(ISNUMBER(NºAsuntos!G14/NºAsuntos!E14),NºAsuntos!G14/NºAsuntos!E14," - ")</f>
        <v>0.88972640982691231</v>
      </c>
      <c r="AM14" s="1021">
        <f>IF(ISNUMBER(((NºAsuntos!I14/NºAsuntos!G14)*11)/factor_trimestre),((NºAsuntos!I14/NºAsuntos!G14)*11)/factor_trimestre," - ")</f>
        <v>7.1531220583620962</v>
      </c>
      <c r="AN14" s="1022">
        <f>IF(ISNUMBER('Resol  Asuntos'!D14/NºAsuntos!G14),'Resol  Asuntos'!D14/NºAsuntos!G14," - ")</f>
        <v>0.22434891747725133</v>
      </c>
      <c r="AO14" s="1023">
        <f>IF(ISNUMBER((NºAsuntos!C14+NºAsuntos!E14)/NºAsuntos!G14),(NºAsuntos!C14+NºAsuntos!E14)/NºAsuntos!G14," - ")</f>
        <v>3.385315343583307</v>
      </c>
      <c r="AP14" s="1024" t="str">
        <f t="shared" si="2"/>
        <v xml:space="preserve"> - </v>
      </c>
      <c r="AQ14" s="1024">
        <f>IF(ISNUMBER((H14-W14+K14)/(F14)),(H14-W14+K14)/(F14)," - ")</f>
        <v>-0.45038167938931295</v>
      </c>
      <c r="AR14" s="1025">
        <f>IF(ISNUMBER((Datos!P14-Datos!Q14)/(Datos!R14-Datos!P14+Datos!Q14)),(Datos!P14-Datos!Q14)/(Datos!R14-Datos!P14+Datos!Q14)," - ")</f>
        <v>-2.6394509941932078E-4</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5</v>
      </c>
      <c r="B16" s="280" t="s">
        <v>436</v>
      </c>
      <c r="C16" s="165" t="str">
        <f>Datos!A16</f>
        <v xml:space="preserve">Jdos. Instrucción                               </v>
      </c>
      <c r="D16" s="165"/>
      <c r="E16" s="1205">
        <f>IF(ISNUMBER(Datos!AQ16),Datos!AQ16," - ")</f>
        <v>5</v>
      </c>
      <c r="F16" s="230">
        <f>IF(ISNUMBER(AA16+W16-Datos!J16-K16),AA16+W16-Datos!J16-K16," - ")</f>
        <v>1845</v>
      </c>
      <c r="G16" s="343">
        <f>IF(ISNUMBER(IF(D_I="SI",Datos!I16,Datos!I16+Datos!AC16)),IF(D_I="SI",Datos!I16,Datos!I16+Datos!AC16)," - ")</f>
        <v>1832</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140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f>IF(ISNUMBER(IF(D_I="SI",Datos!K16,Datos!K16+Datos!AE16)),IF(D_I="SI",Datos!K16,Datos!K16+Datos!AE16)," - ")</f>
        <v>1923</v>
      </c>
      <c r="X16" s="231">
        <f>IF(ISNUMBER(Datos!Q16),Datos!Q16," - ")</f>
        <v>154</v>
      </c>
      <c r="Y16" s="344">
        <f>SUM(W16)</f>
        <v>1923</v>
      </c>
      <c r="Z16" s="345" t="str">
        <f>IF(ISNUMBER(Datos!CC16),Datos!CC16," - ")</f>
        <v xml:space="preserve"> - </v>
      </c>
      <c r="AA16" s="342">
        <f>IF(ISNUMBER(IF(D_I="SI",Datos!L16,Datos!L16+Datos!AF16)),IF(D_I="SI",Datos!L16,Datos!L16+Datos!AF16)," - ")</f>
        <v>2157</v>
      </c>
      <c r="AB16" s="344">
        <f>IF(ISNUMBER(Datos!R16),Datos!R16," - ")</f>
        <v>417</v>
      </c>
      <c r="AC16" s="344">
        <f t="shared" ref="AC16:AC19" si="8">IF(ISNUMBER(AA16+AB16),AA16+AB16," - ")</f>
        <v>2574</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f>IF(ISNUMBER(Datos!M16),Datos!M16," - ")</f>
        <v>365</v>
      </c>
      <c r="AJ16" s="236" t="str">
        <f>IF(ISNUMBER(Datos!BW16),Datos!BW16," - ")</f>
        <v xml:space="preserve"> - </v>
      </c>
      <c r="AK16" s="237" t="str">
        <f>IF(ISNUMBER(Datos!BX16),Datos!BX16," - ")</f>
        <v xml:space="preserve"> - </v>
      </c>
      <c r="AL16" s="248">
        <f>IF(ISNUMBER(NºAsuntos!G16/NºAsuntos!E16),NºAsuntos!G16/NºAsuntos!E16," - ")</f>
        <v>0.86040268456375835</v>
      </c>
      <c r="AM16" s="265">
        <f>IF(ISNUMBER(((NºAsuntos!I16/NºAsuntos!G16)*11)/factor_trimestre),((NºAsuntos!I16/NºAsuntos!G16)*11)/factor_trimestre," - ")</f>
        <v>3.3650546021840877</v>
      </c>
      <c r="AN16" s="249">
        <f>IF(ISNUMBER('Resol  Asuntos'!D16/NºAsuntos!G16),'Resol  Asuntos'!D16/NºAsuntos!G16," - ")</f>
        <v>0.18980759230369215</v>
      </c>
      <c r="AO16" s="250">
        <f>IF(ISNUMBER((NºAsuntos!C16+NºAsuntos!E16)/NºAsuntos!G16),(NºAsuntos!C16+NºAsuntos!E16)/NºAsuntos!G16," - ")</f>
        <v>2.1149245969838795</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0</v>
      </c>
      <c r="B17" s="280" t="s">
        <v>436</v>
      </c>
      <c r="C17" s="165" t="str">
        <f>Datos!A17</f>
        <v xml:space="preserve">Jdos. 1ª Instª. e Instr.                        </v>
      </c>
      <c r="D17" s="165"/>
      <c r="E17" s="1205">
        <f>IF(ISNUMBER(Datos!AQ17),Datos!AQ17," - ")</f>
        <v>0</v>
      </c>
      <c r="F17" s="230" t="str">
        <f>IF(ISNUMBER(AA17+W17-Datos!J17-K17),AA17+W17-Datos!J17-K17," - ")</f>
        <v xml:space="preserve"> - </v>
      </c>
      <c r="G17" s="343" t="str">
        <f>IF(ISNUMBER(IF(D_I="SI",Datos!I17,Datos!I17+Datos!AC17)),IF(D_I="SI",Datos!I17,Datos!I17+Datos!AC17)," - ")</f>
        <v xml:space="preserve"> - </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0</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t="str">
        <f>IF(ISNUMBER(IF(D_I="SI",Datos!K17,Datos!K17+Datos!AE17)),IF(D_I="SI",Datos!K17,Datos!K17+Datos!AE17)," - ")</f>
        <v xml:space="preserve"> - </v>
      </c>
      <c r="X17" s="231" t="str">
        <f>IF(ISNUMBER(Datos!Q17),Datos!Q17," - ")</f>
        <v xml:space="preserve"> - </v>
      </c>
      <c r="Y17" s="344">
        <f t="shared" ref="Y17:Y19" si="9">SUM(W17:X17)</f>
        <v>0</v>
      </c>
      <c r="Z17" s="345" t="str">
        <f>IF(ISNUMBER(Datos!CC17),Datos!CC17," - ")</f>
        <v xml:space="preserve"> - </v>
      </c>
      <c r="AA17" s="342" t="str">
        <f>IF(ISNUMBER(IF(D_I="SI",Datos!L17,Datos!L17+Datos!AF17)),IF(D_I="SI",Datos!L17,Datos!L17+Datos!AF17)," - ")</f>
        <v xml:space="preserve"> - </v>
      </c>
      <c r="AB17" s="344" t="str">
        <f>IF(ISNUMBER(Datos!R17),Datos!R17," - ")</f>
        <v xml:space="preserve"> - </v>
      </c>
      <c r="AC17" s="344" t="str">
        <f t="shared" si="8"/>
        <v xml:space="preserve"> - </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t="str">
        <f>IF(ISNUMBER(Datos!M17),Datos!M17," - ")</f>
        <v xml:space="preserve"> - </v>
      </c>
      <c r="AJ17" s="236" t="str">
        <f>IF(ISNUMBER(Datos!BW17),Datos!BW17," - ")</f>
        <v xml:space="preserve"> - </v>
      </c>
      <c r="AK17" s="237" t="str">
        <f>IF(ISNUMBER(Datos!BX17),Datos!BX17," - ")</f>
        <v xml:space="preserve"> - </v>
      </c>
      <c r="AL17" s="248" t="str">
        <f>IF(ISNUMBER(NºAsuntos!G17/NºAsuntos!E17),NºAsuntos!G17/NºAsuntos!E17," - ")</f>
        <v xml:space="preserve"> - </v>
      </c>
      <c r="AM17" s="265" t="str">
        <f>IF(ISNUMBER(((NºAsuntos!I17/NºAsuntos!G17)*11)/factor_trimestre),((NºAsuntos!I17/NºAsuntos!G17)*11)/factor_trimestre," - ")</f>
        <v xml:space="preserve"> - </v>
      </c>
      <c r="AN17" s="249" t="str">
        <f>IF(ISNUMBER('Resol  Asuntos'!D17/NºAsuntos!G17),'Resol  Asuntos'!D17/NºAsuntos!G17," - ")</f>
        <v xml:space="preserve"> - </v>
      </c>
      <c r="AO17" s="250" t="str">
        <f>IF(ISNUMBER((NºAsuntos!C17+NºAsuntos!E17)/NºAsuntos!G17),(NºAsuntos!C17+NºAsuntos!E17)/NºAsuntos!G17," - ")</f>
        <v xml:space="preserve"> - </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436</v>
      </c>
      <c r="C18" s="7" t="str">
        <f>Datos!A18</f>
        <v>Jdos. Violencia contra la mujer</v>
      </c>
      <c r="D18" s="7"/>
      <c r="E18" s="1205">
        <f>IF(ISNUMBER(Datos!AQ18),Datos!AQ18," - ")</f>
        <v>1</v>
      </c>
      <c r="F18" s="230" t="str">
        <f>IF(ISNUMBER(AA18+W18-H18-K18),AA18+W18-H18-K18," - ")</f>
        <v xml:space="preserve"> - </v>
      </c>
      <c r="G18" s="343">
        <f>IF(ISNUMBER(IF(D_I="SI",Datos!I18,Datos!I18+Datos!AC18)),IF(D_I="SI",Datos!I18,Datos!I18+Datos!AC18)," - ")</f>
        <v>276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346</v>
      </c>
      <c r="X18" s="231">
        <f>IF(ISNUMBER(Datos!Q18),Datos!Q18," - ")</f>
        <v>3</v>
      </c>
      <c r="Y18" s="344">
        <f t="shared" si="9"/>
        <v>349</v>
      </c>
      <c r="Z18" s="345" t="str">
        <f>IF(ISNUMBER(Datos!CC18),Datos!CC18," - ")</f>
        <v xml:space="preserve"> - </v>
      </c>
      <c r="AA18" s="342">
        <f>IF(ISNUMBER(Datos!L18),Datos!L18,"-")</f>
        <v>282</v>
      </c>
      <c r="AB18" s="344">
        <f>IF(ISNUMBER(Datos!R18),Datos!R18," - ")</f>
        <v>8</v>
      </c>
      <c r="AC18" s="344">
        <f t="shared" si="8"/>
        <v>290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18</v>
      </c>
      <c r="AJ18" s="236" t="str">
        <f>IF(ISNUMBER(Datos!BW18),Datos!BW18," - ")</f>
        <v xml:space="preserve"> - </v>
      </c>
      <c r="AK18" s="237" t="str">
        <f>IF(ISNUMBER(Datos!BX18),Datos!BX18," - ")</f>
        <v xml:space="preserve"> - </v>
      </c>
      <c r="AL18" s="248">
        <f>IF(ISNUMBER(NºAsuntos!G18/NºAsuntos!E18),NºAsuntos!G18/NºAsuntos!E18," - ")</f>
        <v>0.98295454545454541</v>
      </c>
      <c r="AM18" s="265">
        <f>IF(ISNUMBER(((NºAsuntos!I18/NºAsuntos!G18)*11)/factor_trimestre),((NºAsuntos!I18/NºAsuntos!G18)*11)/factor_trimestre," - ")</f>
        <v>2.445086705202312</v>
      </c>
      <c r="AN18" s="249">
        <f>IF(ISNUMBER('Resol  Asuntos'!D18/NºAsuntos!G18),'Resol  Asuntos'!D18/NºAsuntos!G18," - ")</f>
        <v>5.2023121387283239E-2</v>
      </c>
      <c r="AO18" s="250">
        <f>IF(ISNUMBER((NºAsuntos!C18+NºAsuntos!E18)/NºAsuntos!G18),(NºAsuntos!C18+NºAsuntos!E18)/NºAsuntos!G18," - ")</f>
        <v>1.8150289017341041</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1</v>
      </c>
      <c r="B19" s="280" t="s">
        <v>436</v>
      </c>
      <c r="C19" s="7" t="str">
        <f>Datos!A19</f>
        <v xml:space="preserve">Jdos. de Menores                                </v>
      </c>
      <c r="D19" s="7"/>
      <c r="E19" s="1205">
        <f>IF(ISNUMBER(Datos!AQ19),Datos!AQ19," - ")</f>
        <v>1</v>
      </c>
      <c r="F19" s="230">
        <f>IF(ISNUMBER(Datos!L19+Datos!K19-Datos!J19-K19),Datos!L19+Datos!K19-Datos!J19-K19," - ")</f>
        <v>110</v>
      </c>
      <c r="G19" s="343">
        <f>IF(ISNUMBER(Datos!I19),Datos!I19," - ")</f>
        <v>110</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63</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f>IF(ISNUMBER(Datos!K19),Datos!K19," - ")</f>
        <v>82</v>
      </c>
      <c r="X19" s="231">
        <f>IF(ISNUMBER(Datos!Q19),Datos!Q19," - ")</f>
        <v>67</v>
      </c>
      <c r="Y19" s="344">
        <f t="shared" si="9"/>
        <v>149</v>
      </c>
      <c r="Z19" s="345" t="str">
        <f>IF(ISNUMBER(Datos!CC19),Datos!CC19," - ")</f>
        <v xml:space="preserve"> - </v>
      </c>
      <c r="AA19" s="342">
        <f>IF(ISNUMBER(Datos!L19),Datos!L19,"-")</f>
        <v>89</v>
      </c>
      <c r="AB19" s="344">
        <f>IF(ISNUMBER(Datos!R19),Datos!R19," - ")</f>
        <v>148</v>
      </c>
      <c r="AC19" s="344">
        <f t="shared" si="8"/>
        <v>237</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f>IF(ISNUMBER(Datos!M19),Datos!M19," - ")</f>
        <v>63</v>
      </c>
      <c r="AJ19" s="236" t="str">
        <f>IF(ISNUMBER(Datos!BW19),Datos!BW19," - ")</f>
        <v xml:space="preserve"> - </v>
      </c>
      <c r="AK19" s="237" t="str">
        <f>IF(ISNUMBER(Datos!BX19),Datos!BX19," - ")</f>
        <v xml:space="preserve"> - </v>
      </c>
      <c r="AL19" s="248">
        <f>IF(ISNUMBER(NºAsuntos!G19/NºAsuntos!E19),NºAsuntos!G19/NºAsuntos!E19," - ")</f>
        <v>1.3442622950819672</v>
      </c>
      <c r="AM19" s="265">
        <f>IF(ISNUMBER(((NºAsuntos!I19/NºAsuntos!G19)*11)/factor_trimestre),((NºAsuntos!I19/NºAsuntos!G19)*11)/factor_trimestre," - ")</f>
        <v>3.25609756097561</v>
      </c>
      <c r="AN19" s="249">
        <f>IF(ISNUMBER('Resol  Asuntos'!D19/NºAsuntos!G19),'Resol  Asuntos'!D19/NºAsuntos!G19," - ")</f>
        <v>0.76829268292682928</v>
      </c>
      <c r="AO19" s="250">
        <f>IF(ISNUMBER((NºAsuntos!C19+NºAsuntos!E19)/NºAsuntos!G19),(NºAsuntos!C19+NºAsuntos!E19)/NºAsuntos!G19," - ")</f>
        <v>2.0853658536585367</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7</v>
      </c>
      <c r="F20" s="1012">
        <f>SUBTOTAL(9,F15:F19)</f>
        <v>1955</v>
      </c>
      <c r="G20" s="1013">
        <f>SUBTOTAL(9,G16:G19)</f>
        <v>2218</v>
      </c>
      <c r="H20" s="1012">
        <f t="shared" ref="H20:O20" si="12">SUBTOTAL(9,H15:H19)</f>
        <v>0</v>
      </c>
      <c r="I20" s="1014">
        <f t="shared" si="12"/>
        <v>0</v>
      </c>
      <c r="J20" s="1014">
        <f t="shared" si="12"/>
        <v>0</v>
      </c>
      <c r="K20" s="1014">
        <f t="shared" si="12"/>
        <v>0</v>
      </c>
      <c r="L20" s="1014">
        <f t="shared" si="12"/>
        <v>204</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2351</v>
      </c>
      <c r="X20" s="1014">
        <f t="shared" si="13"/>
        <v>224</v>
      </c>
      <c r="Y20" s="1015">
        <f t="shared" si="13"/>
        <v>2421</v>
      </c>
      <c r="Z20" s="1015">
        <f t="shared" si="13"/>
        <v>0</v>
      </c>
      <c r="AA20" s="1015">
        <f t="shared" si="13"/>
        <v>2528</v>
      </c>
      <c r="AB20" s="1015">
        <f t="shared" si="13"/>
        <v>573</v>
      </c>
      <c r="AC20" s="1015">
        <f t="shared" si="13"/>
        <v>3101</v>
      </c>
      <c r="AD20" s="1015">
        <f t="shared" si="13"/>
        <v>0</v>
      </c>
      <c r="AE20" s="1019">
        <f t="shared" si="13"/>
        <v>0</v>
      </c>
      <c r="AF20" s="1012">
        <f t="shared" si="13"/>
        <v>0</v>
      </c>
      <c r="AG20" s="1020">
        <f t="shared" si="13"/>
        <v>0</v>
      </c>
      <c r="AH20" s="1017">
        <f t="shared" si="13"/>
        <v>0</v>
      </c>
      <c r="AI20" s="1012">
        <f t="shared" si="13"/>
        <v>446</v>
      </c>
      <c r="AJ20" s="1014">
        <f t="shared" si="13"/>
        <v>0</v>
      </c>
      <c r="AK20" s="1017">
        <f t="shared" si="13"/>
        <v>0</v>
      </c>
      <c r="AL20" s="1021">
        <f>IF(ISNUMBER(NºAsuntos!G20/NºAsuntos!E20),NºAsuntos!G20/NºAsuntos!E20," - ")</f>
        <v>0.88783987915407858</v>
      </c>
      <c r="AM20" s="1021">
        <f>IF(ISNUMBER(((NºAsuntos!I20/NºAsuntos!G20)*11)/factor_trimestre),((NºAsuntos!I20/NºAsuntos!G20)*11)/factor_trimestre," - ")</f>
        <v>3.2258613356018717</v>
      </c>
      <c r="AN20" s="1022">
        <f>IF(ISNUMBER('Resol  Asuntos'!D20/NºAsuntos!G20),'Resol  Asuntos'!D20/NºAsuntos!G20," - ")</f>
        <v>0.18970650786899193</v>
      </c>
      <c r="AO20" s="1023">
        <f>IF(ISNUMBER((NºAsuntos!C20+NºAsuntos!E20)/NºAsuntos!G20),(NºAsuntos!C20+NºAsuntos!E20)/NºAsuntos!G20," - ")</f>
        <v>2.0697575499787324</v>
      </c>
      <c r="AP20" s="1024" t="str">
        <f t="shared" si="2"/>
        <v xml:space="preserve"> - </v>
      </c>
      <c r="AQ20" s="1024">
        <f>IF(ISNUMBER((H20-W20+K20)/(F20)),(H20-W20+K20)/(F20)," - ")</f>
        <v>-1.2025575447570334</v>
      </c>
      <c r="AR20" s="1025">
        <f>IF(ISNUMBER((Datos!P20-Datos!Q20)/(Datos!R20-Datos!P20+Datos!Q20)),(Datos!P20-Datos!Q20)/(Datos!R20-Datos!P20+Datos!Q20)," - ")</f>
        <v>-3.3726812816188868E-2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17</v>
      </c>
      <c r="F21" s="967">
        <f t="shared" si="15"/>
        <v>2086</v>
      </c>
      <c r="G21" s="968">
        <f t="shared" si="15"/>
        <v>2352</v>
      </c>
      <c r="H21" s="967">
        <f t="shared" si="15"/>
        <v>0</v>
      </c>
      <c r="I21" s="969">
        <f t="shared" si="15"/>
        <v>0</v>
      </c>
      <c r="J21" s="969">
        <f t="shared" si="15"/>
        <v>0</v>
      </c>
      <c r="K21" s="1028">
        <f t="shared" si="15"/>
        <v>0</v>
      </c>
      <c r="L21" s="969">
        <f t="shared" si="15"/>
        <v>1354</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2410</v>
      </c>
      <c r="X21" s="968">
        <f t="shared" si="16"/>
        <v>1377</v>
      </c>
      <c r="Y21" s="975">
        <f t="shared" si="16"/>
        <v>3633</v>
      </c>
      <c r="Z21" s="975">
        <f t="shared" si="16"/>
        <v>0</v>
      </c>
      <c r="AA21" s="975">
        <f t="shared" si="16"/>
        <v>2664</v>
      </c>
      <c r="AB21" s="975">
        <f t="shared" si="16"/>
        <v>11936</v>
      </c>
      <c r="AC21" s="975">
        <f t="shared" si="16"/>
        <v>3383</v>
      </c>
      <c r="AD21" s="975">
        <f t="shared" si="16"/>
        <v>0</v>
      </c>
      <c r="AE21" s="977">
        <f t="shared" si="16"/>
        <v>0</v>
      </c>
      <c r="AF21" s="978">
        <f t="shared" si="16"/>
        <v>0</v>
      </c>
      <c r="AG21" s="979">
        <f t="shared" si="16"/>
        <v>0</v>
      </c>
      <c r="AH21" s="977">
        <f t="shared" si="16"/>
        <v>0</v>
      </c>
      <c r="AI21" s="967">
        <f t="shared" si="16"/>
        <v>1161</v>
      </c>
      <c r="AJ21" s="967">
        <f t="shared" si="16"/>
        <v>0</v>
      </c>
      <c r="AK21" s="977">
        <f t="shared" si="16"/>
        <v>0</v>
      </c>
      <c r="AL21" s="1031">
        <f>IF(ISNUMBER(NºAsuntos!G21/NºAsuntos!E21),NºAsuntos!G21/NºAsuntos!E21," - ")</f>
        <v>0.88892455858747998</v>
      </c>
      <c r="AM21" s="1032">
        <f>IF(ISNUMBER(((NºAsuntos!I21/NºAsuntos!G21)*11)/factor_trimestre),((NºAsuntos!I21/NºAsuntos!G21)*11)/factor_trimestre," - ")</f>
        <v>5.4859154929577469</v>
      </c>
      <c r="AN21" s="1032">
        <f>IF(ISNUMBER('Resol  Asuntos'!D21/NºAsuntos!G21),'Resol  Asuntos'!D21/NºAsuntos!G21," - ")</f>
        <v>0.2096424702058505</v>
      </c>
      <c r="AO21" s="1033">
        <f>IF(ISNUMBER((NºAsuntos!C21+NºAsuntos!E21)/NºAsuntos!G21),(NºAsuntos!C21+NºAsuntos!E21)/NºAsuntos!G21," - ")</f>
        <v>2.8268327916215239</v>
      </c>
      <c r="AP21" s="1034" t="str">
        <f t="shared" si="2"/>
        <v xml:space="preserve"> - </v>
      </c>
      <c r="AQ21" s="1035">
        <f>IF(OR(ISNUMBER(FIND("01",Criterios!A8,1)),ISNUMBER(FIND("02",Criterios!A8,1)),ISNUMBER(FIND("03",Criterios!A8,1)),ISNUMBER(FIND("04",Criterios!A8,1))),(I21-W21+K21)/(F21-K21),(H21-W21+K21)/(F21-K21))</f>
        <v>-1.1553211888782358</v>
      </c>
      <c r="AR21" s="1036">
        <f>IF(ISNUMBER((Datos!P21-Datos!Q21)/(Datos!R21-Datos!P21+Datos!Q21)),(Datos!P21-Datos!Q21)/(Datos!R21-Datos!P21+Datos!Q21)," - ")</f>
        <v>-1.9232377289070993E-3</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290</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672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291</v>
      </c>
      <c r="D23" s="351"/>
      <c r="E23" s="288">
        <f>IF(ISNUMBER(STDEV(E8:E20)),STDEV(E8:E20),"-")</f>
        <v>3.5058392848088586</v>
      </c>
      <c r="F23" s="257">
        <f>IF(ISNUMBER(STDEV(F8:F20)),STDEV(F8:F20),"-")</f>
        <v>935.04452656901151</v>
      </c>
      <c r="G23" s="258">
        <f>IF(ISNUMBER(STDEV(G8:G20)),STDEV(G8:G20),"-")</f>
        <v>934.42031941377081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1003.2960442366712</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271.76874360382209</v>
      </c>
      <c r="AJ23" s="257">
        <f t="shared" si="20"/>
        <v>0</v>
      </c>
      <c r="AK23" s="259">
        <f t="shared" si="20"/>
        <v>0</v>
      </c>
      <c r="AL23" s="254">
        <f t="shared" si="20"/>
        <v>0.19673002429536235</v>
      </c>
      <c r="AM23" s="255">
        <f t="shared" si="20"/>
        <v>2.1487670898321278</v>
      </c>
      <c r="AN23" s="255">
        <f t="shared" si="20"/>
        <v>0.2217819156202164</v>
      </c>
      <c r="AO23" s="256">
        <f t="shared" si="20"/>
        <v>0.72428358685659133</v>
      </c>
      <c r="AP23" s="296" t="str">
        <f t="shared" si="20"/>
        <v>-</v>
      </c>
      <c r="AQ23" s="297">
        <f t="shared" si="20"/>
        <v>0.53186865504637493</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465</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288</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289</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srlkqXlPfqBjgrk16PA4HWRVeT4B0BZd5gsgV/M5OMjZwpQWof7tsAHguhkzVj9iPT5S76h20pqqh0GmZa9K0g==" saltValue="arCGkpq3njYNc48b3p4HB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CADIZ</v>
      </c>
      <c r="E3" s="268"/>
    </row>
    <row r="4" spans="2:20" ht="17.25" customHeight="1" thickBot="1">
      <c r="D4" s="267" t="str">
        <f>Criterios!A11 &amp;"  "&amp;Criterios!B11</f>
        <v>Resumenes por Partidos Judiciales  JEREZ DE LA FRONTERA</v>
      </c>
      <c r="E4" s="268"/>
    </row>
    <row r="5" spans="2:20" ht="12.75" customHeight="1">
      <c r="B5" s="277"/>
      <c r="C5" s="1427" t="str">
        <f>"Año:  " &amp;Criterios!B5 &amp; "          Trimestre   " &amp;Criterios!D5 &amp; " al " &amp;Criterios!D6</f>
        <v>Año:  2023          Trimestre   1 al 1</v>
      </c>
      <c r="D5" s="1447" t="s">
        <v>140</v>
      </c>
      <c r="E5" s="1478" t="s">
        <v>13</v>
      </c>
      <c r="F5" s="1475" t="s">
        <v>9</v>
      </c>
      <c r="G5" s="1472" t="s">
        <v>141</v>
      </c>
      <c r="H5" s="1469" t="s">
        <v>7</v>
      </c>
      <c r="I5" s="1444" t="s">
        <v>132</v>
      </c>
      <c r="J5" s="1421" t="s">
        <v>133</v>
      </c>
      <c r="K5" s="1438" t="s">
        <v>134</v>
      </c>
      <c r="M5" s="167"/>
      <c r="N5" s="175" t="s">
        <v>303</v>
      </c>
      <c r="O5" s="167"/>
      <c r="P5" s="167"/>
      <c r="Q5" s="176" t="s">
        <v>304</v>
      </c>
      <c r="R5" s="176"/>
      <c r="S5" s="174"/>
      <c r="T5" s="174"/>
    </row>
    <row r="6" spans="2:20" ht="12.75" customHeight="1">
      <c r="B6" s="278"/>
      <c r="C6" s="1428"/>
      <c r="D6" s="1448"/>
      <c r="E6" s="1479"/>
      <c r="F6" s="1476"/>
      <c r="G6" s="1473"/>
      <c r="H6" s="1470"/>
      <c r="I6" s="1445"/>
      <c r="J6" s="1422"/>
      <c r="K6" s="1439"/>
      <c r="M6" s="1483" t="s">
        <v>319</v>
      </c>
      <c r="N6" s="1483" t="s">
        <v>300</v>
      </c>
      <c r="O6" s="1483" t="s">
        <v>301</v>
      </c>
      <c r="P6" s="1483" t="s">
        <v>302</v>
      </c>
      <c r="Q6" s="1483" t="s">
        <v>319</v>
      </c>
      <c r="R6" s="1483" t="s">
        <v>300</v>
      </c>
      <c r="S6" s="1483" t="s">
        <v>301</v>
      </c>
      <c r="T6" s="1483" t="s">
        <v>302</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272</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f>IF(ISNUMBER((Datos!M9-Datos!W9)/Datos!W9),(Datos!M9-Datos!W9)/Datos!W9," - ")</f>
        <v>0.20378151260504201</v>
      </c>
      <c r="I9" s="360">
        <f>IF(ISNUMBER((Tasas!C9-Datos!BE9)/Datos!BE9),(Tasas!C9-Datos!BE9)/Datos!BE9," - ")</f>
        <v>6.5329135190423507E-2</v>
      </c>
      <c r="J9" s="359">
        <f>IF(ISNUMBER((Tasas!D9-Datos!BF9)/Datos!BF9),(Tasas!D9-Datos!BF9)/Datos!BF9," - ")</f>
        <v>-0.36506640270560092</v>
      </c>
      <c r="K9" s="361">
        <f>IF(ISNUMBER((Tasas!E9-Datos!BG9)/Datos!BG9),(Tasas!E9-Datos!BG9)/Datos!BG9," - ")</f>
        <v>4.5222489794256811E-2</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272</v>
      </c>
      <c r="C10" s="7" t="str">
        <f>Datos!A10</f>
        <v>Jdos. Violencia contra la mujer</v>
      </c>
      <c r="D10" s="362">
        <f>IF(ISNUMBER((Datos!I10-Datos!S10)/Datos!S10),(Datos!I10-Datos!S10)/Datos!S10," - ")</f>
        <v>-7.586206896551724E-2</v>
      </c>
      <c r="E10" s="358">
        <f>IF(ISNUMBER((Datos!J10-Datos!T10)/Datos!T10),(Datos!J10-Datos!T10)/Datos!T10," - ")</f>
        <v>-4.4776119402985072E-2</v>
      </c>
      <c r="F10" s="358">
        <f>IF(ISNUMBER((Datos!K10-Datos!U10)/Datos!U10),(Datos!K10-Datos!U10)/Datos!U10," - ")</f>
        <v>-0.28048780487804881</v>
      </c>
      <c r="G10" s="359">
        <f>IF(ISNUMBER((Datos!L10-Datos!V10)/Datos!V10),(Datos!L10-Datos!V10)/Datos!V10," - ")</f>
        <v>3.8167938931297711E-2</v>
      </c>
      <c r="H10" s="235">
        <f>IF(ISNUMBER((Datos!M10-Datos!W10)/Datos!W10),(Datos!M10-Datos!W10)/Datos!W10," - ")</f>
        <v>-0.1</v>
      </c>
      <c r="I10" s="360">
        <f>IF(ISNUMBER((Tasas!C10-Datos!BE10)/Datos!BE10),(Tasas!C10-Datos!BE10)/Datos!BE10," - ")</f>
        <v>0.4428774744468883</v>
      </c>
      <c r="J10" s="359">
        <f>IF(ISNUMBER((Tasas!D10-Datos!BF10)/Datos!BF10),(Tasas!D10-Datos!BF10)/Datos!BF10," - ")</f>
        <v>0.25084745762711869</v>
      </c>
      <c r="K10" s="361">
        <f>IF(ISNUMBER((Tasas!E10-Datos!BG10)/Datos!BG10),(Tasas!E10-Datos!BG10)/Datos!BG10," - ")</f>
        <v>0.29804924848097214</v>
      </c>
    </row>
    <row r="11" spans="2:20" ht="14.25">
      <c r="B11" s="280" t="s">
        <v>272</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f>IF(ISNUMBER((Datos!M11-Datos!W11)/Datos!W11),(Datos!M11-Datos!W11)/Datos!W11," - ")</f>
        <v>-0.42211055276381909</v>
      </c>
      <c r="I11" s="360">
        <f>IF(ISNUMBER((Tasas!C11-Datos!BE11)/Datos!BE11),(Tasas!C11-Datos!BE11)/Datos!BE11," - ")</f>
        <v>0.15668811522563605</v>
      </c>
      <c r="J11" s="359">
        <f>IF(ISNUMBER((Tasas!D11-Datos!BF11)/Datos!BF11),(Tasas!D11-Datos!BF11)/Datos!BF11," - ")</f>
        <v>-0.2225967831591027</v>
      </c>
      <c r="K11" s="361">
        <f>IF(ISNUMBER((Tasas!E11-Datos!BG11)/Datos!BG11),(Tasas!E11-Datos!BG11)/Datos!BG11," - ")</f>
        <v>0.10459691642487345</v>
      </c>
      <c r="M11" t="e">
        <f>IF(Monitorios="SI",Datos!CE11,0)</f>
        <v>#REF!</v>
      </c>
      <c r="N11" t="e">
        <f>IF(Monitorios="SI",Datos!CF11,0)</f>
        <v>#REF!</v>
      </c>
      <c r="O11" t="e">
        <f>IF(Monitorios="SI",Datos!CG11,0)</f>
        <v>#REF!</v>
      </c>
      <c r="P11" t="e">
        <f>IF(Monitorios="SI",Datos!CH11,0)</f>
        <v>#REF!</v>
      </c>
      <c r="Q11">
        <f>IF(J_V="SI",0,Datos!AG11)</f>
        <v>449</v>
      </c>
      <c r="R11">
        <f>IF(J_V="SI",0,Datos!AH11)</f>
        <v>242</v>
      </c>
      <c r="S11">
        <f>IF(J_V="SI",0,Datos!AI11)</f>
        <v>296</v>
      </c>
      <c r="T11">
        <f>IF(J_V="SI",0,Datos!AJ11)</f>
        <v>395</v>
      </c>
    </row>
    <row r="12" spans="2:20" ht="14.25">
      <c r="B12" s="280" t="s">
        <v>272</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t="str">
        <f>IF(ISNUMBER((Datos!M12-Datos!W12)/Datos!W12),(Datos!M12-Datos!W12)/Datos!W12," - ")</f>
        <v xml:space="preserve"> - </v>
      </c>
      <c r="I12" s="360" t="str">
        <f>IF(ISNUMBER((Tasas!C12-Datos!BE12)/Datos!BE12),(Tasas!C12-Datos!BE12)/Datos!BE12," - ")</f>
        <v xml:space="preserve"> - </v>
      </c>
      <c r="J12" s="359" t="str">
        <f>IF(ISNUMBER((Tasas!D12-Datos!BF12)/Datos!BF12),(Tasas!D12-Datos!BF12)/Datos!BF12," - ")</f>
        <v xml:space="preserve"> - </v>
      </c>
      <c r="K12" s="361"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280" t="s">
        <v>272</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1.4184397163120567E-2</v>
      </c>
      <c r="I14" s="367">
        <f>IF(ISNUMBER((Tasas!C14-Datos!BE14)/Datos!BE14),(Tasas!C14-Datos!BE14)/Datos!BE14," - ")</f>
        <v>0.10051000962658986</v>
      </c>
      <c r="J14" s="365">
        <f>IF(ISNUMBER((Tasas!D14-Datos!BF14)/Datos!BF14),(Tasas!D14-Datos!BF14)/Datos!BF14," - ")</f>
        <v>-0.33511563022074475</v>
      </c>
      <c r="K14" s="368">
        <f>IF(ISNUMBER((Tasas!E14-Datos!BG14)/Datos!BG14),(Tasas!E14-Datos!BG14)/Datos!BG14," - ")</f>
        <v>6.9185116268528732E-2</v>
      </c>
      <c r="M14" t="e">
        <f>IF(Monitorios="SI",Datos!CE14,0)</f>
        <v>#REF!</v>
      </c>
      <c r="N14" t="e">
        <f>IF(Monitorios="SI",Datos!CF14,0)</f>
        <v>#REF!</v>
      </c>
      <c r="O14" t="e">
        <f>IF(Monitorios="SI",Datos!CG14,0)</f>
        <v>#REF!</v>
      </c>
      <c r="P14" t="e">
        <f>IF(Monitorios="SI",Datos!CH14,0)</f>
        <v>#REF!</v>
      </c>
      <c r="Q14">
        <f>IF(J_V="SI",0,Datos!AG14)</f>
        <v>449</v>
      </c>
      <c r="R14">
        <f>IF(J_V="SI",0,Datos!AH14)</f>
        <v>242</v>
      </c>
      <c r="S14">
        <f>IF(J_V="SI",0,Datos!AI14)</f>
        <v>296</v>
      </c>
      <c r="T14">
        <f>IF(J_V="SI",0,Datos!AJ14)</f>
        <v>395</v>
      </c>
    </row>
    <row r="15" spans="2:20" ht="15" thickTop="1">
      <c r="B15" s="184"/>
      <c r="C15" s="72" t="str">
        <f>Datos!A15</f>
        <v xml:space="preserve">Jurisdicción Penal ( 2 ):                      </v>
      </c>
      <c r="D15" s="251"/>
      <c r="E15" s="252"/>
      <c r="F15" s="252"/>
      <c r="G15" s="252"/>
      <c r="H15" s="275"/>
      <c r="I15" s="252"/>
      <c r="J15" s="252"/>
      <c r="K15" s="293"/>
    </row>
    <row r="16" spans="2:20" ht="14.25">
      <c r="B16" s="280" t="s">
        <v>436</v>
      </c>
      <c r="C16" s="7" t="str">
        <f>Datos!A16</f>
        <v xml:space="preserve">Jdos. Instrucción                               </v>
      </c>
      <c r="D16" s="362">
        <f>IF(ISNUMBER(
   IF(D_I="SI",(Datos!I16-Datos!S16)/Datos!S16,(Datos!I16+Datos!AC16-(Datos!S16+Datos!AK16))/(Datos!S16+Datos!AK16))
     ),IF(D_I="SI",(Datos!I16-Datos!S16)/Datos!S16,(Datos!I16+Datos!AC16-(Datos!S16+Datos!AK16))/(Datos!S16+Datos!AK16))," - ")</f>
        <v>4.209328782707622E-2</v>
      </c>
      <c r="E16" s="358">
        <f>IF(ISNUMBER(
   IF(D_I="SI",(Datos!J16-Datos!T16)/Datos!T16,(Datos!J16+Datos!AD16-(Datos!T16+Datos!AL16))/(Datos!T16+Datos!AL16))
     ),IF(D_I="SI",(Datos!J16-Datos!T16)/Datos!T16,(Datos!J16+Datos!AD16-(Datos!T16+Datos!AL16))/(Datos!T16+Datos!AL16))," - ")</f>
        <v>-8.3640836408364089E-2</v>
      </c>
      <c r="F16" s="358">
        <f>IF(ISNUMBER(
   IF(D_I="SI",(Datos!K16-Datos!U16)/Datos!U16,(Datos!K16+Datos!AE16-(Datos!U16+Datos!AM16))/(Datos!U16+Datos!AM16))
     ),IF(D_I="SI",(Datos!K16-Datos!U16)/Datos!U16,(Datos!K16+Datos!AE16-(Datos!U16+Datos!AM16))/(Datos!U16+Datos!AM16))," - ")</f>
        <v>-0.22365765038352847</v>
      </c>
      <c r="G16" s="359">
        <f>IF(ISNUMBER(
   IF(D_I="SI",(Datos!L16-Datos!V16)/Datos!V16,(Datos!L16+Datos!AF16-(Datos!V16+Datos!AN16))/(Datos!V16+Datos!AN16))
     ),IF(D_I="SI",(Datos!L16-Datos!V16)/Datos!V16,(Datos!L16+Datos!AF16-(Datos!V16+Datos!AN16))/(Datos!V16+Datos!AN16))," - ")</f>
        <v>0.22835990888382687</v>
      </c>
      <c r="H16" s="235">
        <f>IF(ISNUMBER((Datos!M16-Datos!W16)/Datos!W16),(Datos!M16-Datos!W16)/Datos!W16," - ")</f>
        <v>-0.20479302832244009</v>
      </c>
      <c r="I16" s="360">
        <f>IF(ISNUMBER((Tasas!C16-Datos!BE16)/Datos!BE16),(Tasas!C16-Datos!BE16)/Datos!BE16," - ")</f>
        <v>0.58223998663818988</v>
      </c>
      <c r="J16" s="359">
        <f>IF(ISNUMBER((Tasas!D16-Datos!BF16)/Datos!BF16),(Tasas!D16-Datos!BF16)/Datos!BF16," - ")</f>
        <v>2.4299359773955195E-2</v>
      </c>
      <c r="K16" s="361">
        <f>IF(ISNUMBER((Tasas!E16-Datos!BG16)/Datos!BG16),(Tasas!E16-Datos!BG16)/Datos!BG16," - ")</f>
        <v>0.24819352554898011</v>
      </c>
    </row>
    <row r="17" spans="2:20" ht="14.25">
      <c r="B17" s="280" t="s">
        <v>436</v>
      </c>
      <c r="C17" s="7" t="str">
        <f>Datos!A17</f>
        <v xml:space="preserve">Jdos. 1ª Instª. e Instr.                        </v>
      </c>
      <c r="D17" s="362" t="str">
        <f>IF(ISNUMBER(
   IF(D_I="SI",(Datos!I17-Datos!S17)/Datos!S17,(Datos!I17+Datos!AC17-(Datos!S17+Datos!AK17))/(Datos!S17+Datos!AK17))
     ),IF(D_I="SI",(Datos!I17-Datos!S17)/Datos!S17,(Datos!I17+Datos!AC17-(Datos!S17+Datos!AK17))/(Datos!S17+Datos!AK17))," - ")</f>
        <v xml:space="preserve"> - </v>
      </c>
      <c r="E17" s="358" t="str">
        <f>IF(ISNUMBER(
   IF(D_I="SI",(Datos!J17-Datos!T17)/Datos!T17,(Datos!J17+Datos!AD17-(Datos!T17+Datos!AL17))/(Datos!T17+Datos!AL17))
     ),IF(D_I="SI",(Datos!J17-Datos!T17)/Datos!T17,(Datos!J17+Datos!AD17-(Datos!T17+Datos!AL17))/(Datos!T17+Datos!AL17))," - ")</f>
        <v xml:space="preserve"> - </v>
      </c>
      <c r="F17" s="358" t="str">
        <f>IF(ISNUMBER(
   IF(D_I="SI",(Datos!K17-Datos!U17)/Datos!U17,(Datos!K17+Datos!AE17-(Datos!U17+Datos!AM17))/(Datos!U17+Datos!AM17))
     ),IF(D_I="SI",(Datos!K17-Datos!U17)/Datos!U17,(Datos!K17+Datos!AE17-(Datos!U17+Datos!AM17))/(Datos!U17+Datos!AM17))," - ")</f>
        <v xml:space="preserve"> - </v>
      </c>
      <c r="G17" s="359" t="str">
        <f>IF(ISNUMBER(
   IF(D_I="SI",(Datos!L17-Datos!V17)/Datos!V17,(Datos!L17+Datos!AF17-(Datos!V17+Datos!AN17))/(Datos!V17+Datos!AN17))
     ),IF(D_I="SI",(Datos!L17-Datos!V17)/Datos!V17,(Datos!L17+Datos!AF17-(Datos!V17+Datos!AN17))/(Datos!V17+Datos!AN17))," - ")</f>
        <v xml:space="preserve"> - </v>
      </c>
      <c r="H17" s="235" t="str">
        <f>IF(ISNUMBER((Datos!M17-Datos!W17)/Datos!W17),(Datos!M17-Datos!W17)/Datos!W17," - ")</f>
        <v xml:space="preserve"> - </v>
      </c>
      <c r="I17" s="360" t="str">
        <f>IF(ISNUMBER((Tasas!C17-Datos!BE17)/Datos!BE17),(Tasas!C17-Datos!BE17)/Datos!BE17," - ")</f>
        <v xml:space="preserve"> - </v>
      </c>
      <c r="J17" s="359" t="str">
        <f>IF(ISNUMBER((Tasas!D17-Datos!BF17)/Datos!BF17),(Tasas!D17-Datos!BF17)/Datos!BF17," - ")</f>
        <v xml:space="preserve"> - </v>
      </c>
      <c r="K17" s="361" t="str">
        <f>IF(ISNUMBER((Tasas!E17-Datos!BG17)/Datos!BG17),(Tasas!E17-Datos!BG17)/Datos!BG17," - ")</f>
        <v xml:space="preserve"> - </v>
      </c>
    </row>
    <row r="18" spans="2:20" ht="14.25">
      <c r="B18" s="280" t="s">
        <v>436</v>
      </c>
      <c r="C18" s="7" t="str">
        <f>Datos!A18</f>
        <v>Jdos. Violencia contra la mujer</v>
      </c>
      <c r="D18" s="362">
        <f>IF(ISNUMBER(
   IF(D_I="SI",(Datos!I18-Datos!S18)/Datos!S18,(Datos!I18+Datos!AC18-(Datos!S18+Datos!AK18))/(Datos!S18+Datos!AK18))
     ),IF(D_I="SI",(Datos!I18-Datos!S18)/Datos!S18,(Datos!I18+Datos!AC18-(Datos!S18+Datos!AK18))/(Datos!S18+Datos!AK18))," - ")</f>
        <v>-0.18100890207715134</v>
      </c>
      <c r="E18" s="358">
        <f>IF(ISNUMBER(
   IF(D_I="SI",(Datos!J18-Datos!T18)/Datos!T18,(Datos!J18+Datos!AD18-(Datos!T18+Datos!AL18))/(Datos!T18+Datos!AL18))
     ),IF(D_I="SI",(Datos!J18-Datos!T18)/Datos!T18,(Datos!J18+Datos!AD18-(Datos!T18+Datos!AL18))/(Datos!T18+Datos!AL18))," - ")</f>
        <v>3.8348082595870206E-2</v>
      </c>
      <c r="F18" s="358">
        <f>IF(ISNUMBER(
   IF(D_I="SI",(Datos!K18-Datos!U18)/Datos!U18,(Datos!K18+Datos!AE18-(Datos!U18+Datos!AM18))/(Datos!U18+Datos!AM18))
     ),IF(D_I="SI",(Datos!K18-Datos!U18)/Datos!U18,(Datos!K18+Datos!AE18-(Datos!U18+Datos!AM18))/(Datos!U18+Datos!AM18))," - ")</f>
        <v>-0.14987714987714987</v>
      </c>
      <c r="G18" s="359">
        <f>IF(ISNUMBER(
   IF(D_I="SI",(Datos!L18-Datos!V18)/Datos!V18,(Datos!L18+Datos!AF18-(Datos!V18+Datos!AN18))/(Datos!V18+Datos!AN18))
     ),IF(D_I="SI",(Datos!L18-Datos!V18)/Datos!V18,(Datos!L18+Datos!AF18-(Datos!V18+Datos!AN18))/(Datos!V18+Datos!AN18))," - ")</f>
        <v>4.8327137546468404E-2</v>
      </c>
      <c r="H18" s="235">
        <f>IF(ISNUMBER((Datos!M18-Datos!W18)/Datos!W18),(Datos!M18-Datos!W18)/Datos!W18," - ")</f>
        <v>-0.28000000000000003</v>
      </c>
      <c r="I18" s="360">
        <f>IF(ISNUMBER((Tasas!C18-Datos!BE18)/Datos!BE18),(Tasas!C18-Datos!BE18)/Datos!BE18," - ")</f>
        <v>0.23314781786535446</v>
      </c>
      <c r="J18" s="359">
        <f>IF(ISNUMBER((Tasas!D18-Datos!BF18)/Datos!BF18),(Tasas!D18-Datos!BF18)/Datos!BF18," - ")</f>
        <v>-0.15306358381502888</v>
      </c>
      <c r="K18" s="361">
        <f>IF(ISNUMBER((Tasas!E18-Datos!BG18)/Datos!BG18),(Tasas!E18-Datos!BG18)/Datos!BG18," - ")</f>
        <v>9.2776276635769817E-2</v>
      </c>
    </row>
    <row r="19" spans="2:20" ht="15" thickBot="1">
      <c r="B19" s="280" t="s">
        <v>436</v>
      </c>
      <c r="C19" s="7" t="str">
        <f>Datos!A19</f>
        <v xml:space="preserve">Jdos. de Menores                                </v>
      </c>
      <c r="D19" s="362">
        <f>IF(ISNUMBER((Datos!I19-Datos!S19)/Datos!S19),(Datos!I19-Datos!S19)/Datos!S19," - ")</f>
        <v>0.35802469135802467</v>
      </c>
      <c r="E19" s="358">
        <f>IF(ISNUMBER((Datos!J19-Datos!T19)/Datos!T19),(Datos!J19-Datos!T19)/Datos!T19," - ")</f>
        <v>-0.20779220779220781</v>
      </c>
      <c r="F19" s="358">
        <f>IF(ISNUMBER((Datos!K19-Datos!U19)/Datos!U19),(Datos!K19-Datos!U19)/Datos!U19," - ")</f>
        <v>-1.2048192771084338E-2</v>
      </c>
      <c r="G19" s="359">
        <f>IF(ISNUMBER((Datos!L19-Datos!V19)/Datos!V19),(Datos!L19-Datos!V19)/Datos!V19," - ")</f>
        <v>0.17105263157894737</v>
      </c>
      <c r="H19" s="235">
        <f>IF(ISNUMBER((Datos!M19-Datos!W19)/Datos!W19),(Datos!M19-Datos!W19)/Datos!W19," - ")</f>
        <v>1.6129032258064516E-2</v>
      </c>
      <c r="I19" s="360">
        <f>IF(ISNUMBER((Tasas!C19-Datos!BE19)/Datos!BE19),(Tasas!C19-Datos!BE19)/Datos!BE19," - ")</f>
        <v>0.18533376123234932</v>
      </c>
      <c r="J19" s="359">
        <f>IF(ISNUMBER((Tasas!D19-Datos!BF19)/Datos!BF19),(Tasas!D19-Datos!BF19)/Datos!BF19," - ")</f>
        <v>2.8520849724626353E-2</v>
      </c>
      <c r="K19" s="361">
        <f>IF(ISNUMBER((Tasas!E19-Datos!BG19)/Datos!BG19),(Tasas!E19-Datos!BG19)/Datos!BG19," - ")</f>
        <v>9.5476999073788302E-2</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1.9301470588235295E-2</v>
      </c>
      <c r="E20" s="364">
        <f>IF(ISNUMBER(
   IF(D_I="SI",(Datos!J20-Datos!T20)/Datos!T20,(Datos!J20+Datos!AD20-(Datos!T20+Datos!AL20))/(Datos!T20+Datos!AL20))
     ),IF(D_I="SI",(Datos!J20-Datos!T20)/Datos!T20,(Datos!J20+Datos!AD20-(Datos!T20+Datos!AL20))/(Datos!T20+Datos!AL20))," - ")</f>
        <v>-7.2504378283712784E-2</v>
      </c>
      <c r="F20" s="364">
        <f>IF(ISNUMBER(
   IF(D_I="SI",(Datos!K20-Datos!U20)/Datos!U20,(Datos!K20+Datos!AE20-(Datos!U20+Datos!AM20))/(Datos!U20+Datos!AM20))
     ),IF(D_I="SI",(Datos!K20-Datos!U20)/Datos!U20,(Datos!K20+Datos!AE20-(Datos!U20+Datos!AM20))/(Datos!U20+Datos!AM20))," - ")</f>
        <v>-0.20761712167172228</v>
      </c>
      <c r="G20" s="365">
        <f>IF(ISNUMBER(
   IF(D_I="SI",(Datos!L20-Datos!V20)/Datos!V20,(Datos!L20+Datos!AF20-(Datos!V20+Datos!AN20))/(Datos!V20+Datos!AN20))
     ),IF(D_I="SI",(Datos!L20-Datos!V20)/Datos!V20,(Datos!L20+Datos!AF20-(Datos!V20+Datos!AN20))/(Datos!V20+Datos!AN20))," - ")</f>
        <v>0.20323655402189433</v>
      </c>
      <c r="H20" s="366">
        <f>IF(ISNUMBER((Datos!M20-Datos!W20)/Datos!W20),(Datos!M20-Datos!W20)/Datos!W20," - ")</f>
        <v>-0.18315018315018314</v>
      </c>
      <c r="I20" s="367">
        <f>IF(ISNUMBER((Tasas!C20-Datos!BE20)/Datos!BE20),(Tasas!C20-Datos!BE20)/Datos!BE20," - ")</f>
        <v>0.51850397949083804</v>
      </c>
      <c r="J20" s="365">
        <f>IF(ISNUMBER((Tasas!D20-Datos!BF20)/Datos!BF20),(Tasas!D20-Datos!BF20)/Datos!BF20," - ")</f>
        <v>3.0877671881500174E-2</v>
      </c>
      <c r="K20" s="368">
        <f>IF(ISNUMBER((Tasas!E20-Datos!BG20)/Datos!BG20),(Tasas!E20-Datos!BG20)/Datos!BG20," - ")</f>
        <v>0.22062624742335502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0.1585740626920713</v>
      </c>
      <c r="E21" s="373">
        <f>IF(ISNUMBER(
   IF(J_V="SI",(Datos!J21-Datos!T21)/Datos!T21,(Datos!J21+Datos!Z21-(Datos!T21+Datos!AH21))/(Datos!T21+Datos!AH21))
     ),IF(J_V="SI",(Datos!J21-Datos!T21)/Datos!T21,(Datos!J21+Datos!Z21-(Datos!T21+Datos!AH21))/(Datos!T21+Datos!AH21))," - ")</f>
        <v>5.1831841971973665E-2</v>
      </c>
      <c r="F21" s="373">
        <f>IF(ISNUMBER(
   IF(J_V="SI",(Datos!K21-Datos!U21)/Datos!U21,(Datos!K21+Datos!AA21-(Datos!U21+Datos!AI21))/(Datos!U21+Datos!AI21))
     ),IF(J_V="SI",(Datos!K21-Datos!U21)/Datos!U21,(Datos!K21+Datos!AA21-(Datos!U21+Datos!AI21))/(Datos!U21+Datos!AI21))," - ")</f>
        <v>-4.8126503953248537E-2</v>
      </c>
      <c r="G21" s="374">
        <f>IF(ISNUMBER(
   IF(J_V="SI",(Datos!L21-Datos!V21)/Datos!V21,(Datos!L21+Datos!AB21-(Datos!V21+Datos!AJ21))/(Datos!V21+Datos!AJ21))
     ),IF(J_V="SI",(Datos!L21-Datos!V21)/Datos!V21,(Datos!L21+Datos!AB21-(Datos!V21+Datos!AJ21))/(Datos!V21+Datos!AJ21))," - ")</f>
        <v>0.22336313119110895</v>
      </c>
      <c r="H21" s="375">
        <f>IF(ISNUMBER((Datos!M21-Datos!W21)/Datos!W21),(Datos!M21-Datos!W21)/Datos!W21," - ")</f>
        <v>-7.1942446043165464E-2</v>
      </c>
      <c r="I21" s="372">
        <f>IF(ISNUMBER((Tasas!C21-Datos!BE21)/Datos!BE21),(Tasas!C21-Datos!BE21)/Datos!BE21," - ")</f>
        <v>0.28521608834775597</v>
      </c>
      <c r="J21" s="373">
        <f>IF(ISNUMBER((Tasas!D21-Datos!BF21)/Datos!BF21),(Tasas!D21-Datos!BF21)/Datos!BF21," - ")</f>
        <v>-0.19118044319785257</v>
      </c>
      <c r="K21" s="374">
        <f>IF(ISNUMBER((Tasas!E21-Datos!BG21)/Datos!BG21),(Tasas!E21-Datos!BG21)/Datos!BG21," - ")</f>
        <v>0.16990419559354292</v>
      </c>
    </row>
    <row r="22" spans="2:20" ht="15.75" customHeight="1" thickTop="1" thickBot="1">
      <c r="B22" s="172"/>
      <c r="C22" s="959" t="s">
        <v>290</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291</v>
      </c>
      <c r="D23" s="282">
        <f t="shared" ref="D23:K23" si="1">IF(ISNUMBER( STDEV(D8:D20)),STDEV(D8:D20)," - ")</f>
        <v>0.20221334390956017</v>
      </c>
      <c r="E23" s="283">
        <f t="shared" si="1"/>
        <v>8.8701236779571882E-2</v>
      </c>
      <c r="F23" s="283">
        <f t="shared" si="1"/>
        <v>0.10215579439200068</v>
      </c>
      <c r="G23" s="284">
        <f t="shared" si="1"/>
        <v>8.8770369152107079E-2</v>
      </c>
      <c r="H23" s="290">
        <f t="shared" si="1"/>
        <v>0.19632974512861454</v>
      </c>
      <c r="I23" s="282">
        <f t="shared" si="1"/>
        <v>0.19970554331204302</v>
      </c>
      <c r="J23" s="283">
        <f t="shared" si="1"/>
        <v>0.21218097443249409</v>
      </c>
      <c r="K23" s="284">
        <f t="shared" si="1"/>
        <v>9.4326985836648253E-2</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288</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289</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UR2svcjgsp9Q+XGMEEK0A26SDelPr+wT4thPCbdWCxQdJIiOhan//i3PjLIXPCD+jtgG1teQ0zb41ZHOqla8A==" saltValue="J13t/skrDuuQfFVDSeqN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